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23.xml.rels" ContentType="application/vnd.openxmlformats-package.relationships+xml"/>
  <Override PartName="/xl/worksheets/_rels/sheet22.xml.rels" ContentType="application/vnd.openxmlformats-package.relationships+xml"/>
  <Override PartName="/xl/worksheets/_rels/sheet19.xml.rels" ContentType="application/vnd.openxmlformats-package.relationships+xml"/>
  <Override PartName="/xl/worksheets/_rels/sheet4.xml.rels" ContentType="application/vnd.openxmlformats-package.relationships+xml"/>
  <Override PartName="/xl/worksheets/_rels/sheet41.xml.rels" ContentType="application/vnd.openxmlformats-package.relationships+xml"/>
  <Override PartName="/xl/worksheets/_rels/sheet36.xml.rels" ContentType="application/vnd.openxmlformats-package.relationships+xml"/>
  <Override PartName="/xl/worksheets/_rels/sheet13.xml.rels" ContentType="application/vnd.openxmlformats-package.relationships+xml"/>
  <Override PartName="/xl/worksheets/_rels/sheet46.xml.rels" ContentType="application/vnd.openxmlformats-package.relationships+xml"/>
  <Override PartName="/xl/worksheets/_rels/sheet48.xml.rels" ContentType="application/vnd.openxmlformats-package.relationships+xml"/>
  <Override PartName="/xl/worksheets/_rels/sheet11.xml.rels" ContentType="application/vnd.openxmlformats-package.relationships+xml"/>
  <Override PartName="/xl/worksheets/_rels/sheet35.xml.rels" ContentType="application/vnd.openxmlformats-package.relationships+xml"/>
  <Override PartName="/xl/worksheets/_rels/sheet47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30.xml.rels" ContentType="application/vnd.openxmlformats-package.relationships+xml"/>
  <Override PartName="/xl/worksheets/_rels/sheet29.xml.rels" ContentType="application/vnd.openxmlformats-package.relationships+xml"/>
  <Override PartName="/xl/worksheets/_rels/sheet31.xml.rels" ContentType="application/vnd.openxmlformats-package.relationships+xml"/>
  <Override PartName="/xl/worksheets/_rels/sheet43.xml.rels" ContentType="application/vnd.openxmlformats-package.relationships+xml"/>
  <Override PartName="/xl/worksheets/_rels/sheet32.xml.rels" ContentType="application/vnd.openxmlformats-package.relationships+xml"/>
  <Override PartName="/xl/worksheets/_rels/sheet44.xml.rels" ContentType="application/vnd.openxmlformats-package.relationships+xml"/>
  <Override PartName="/xl/worksheets/_rels/sheet33.xml.rels" ContentType="application/vnd.openxmlformats-package.relationships+xml"/>
  <Override PartName="/xl/worksheets/_rels/sheet45.xml.rels" ContentType="application/vnd.openxmlformats-package.relationships+xml"/>
  <Override PartName="/xl/worksheets/_rels/sheet34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_rels/sheet49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3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8.xml" ContentType="application/vnd.openxmlformats-officedocument.drawing+xml"/>
  <Override PartName="/xl/drawings/drawing9.xml" ContentType="application/vnd.openxmlformats-officedocument.drawing+xml"/>
  <Override PartName="/xl/drawings/drawing20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30.xml" ContentType="application/vnd.openxmlformats-officedocument.drawing+xml"/>
  <Override PartName="/xl/drawings/_rels/drawing25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9.xml.rels" ContentType="application/vnd.openxmlformats-package.relationships+xml"/>
  <Override PartName="/xl/drawings/_rels/drawing28.xml.rels" ContentType="application/vnd.openxmlformats-package.relationships+xml"/>
  <Override PartName="/xl/drawings/_rels/drawing32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20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11.xml.rels" ContentType="application/vnd.openxmlformats-package.relationships+xml"/>
  <Override PartName="/xl/drawings/_rels/drawing17.xml.rels" ContentType="application/vnd.openxmlformats-package.relationships+xml"/>
  <Override PartName="/xl/drawings/_rels/drawing9.xml.rels" ContentType="application/vnd.openxmlformats-package.relationships+xml"/>
  <Override PartName="/xl/drawings/_rels/drawing33.xml.rels" ContentType="application/vnd.openxmlformats-package.relationships+xml"/>
  <Override PartName="/xl/drawings/_rels/drawing30.xml.rels" ContentType="application/vnd.openxmlformats-package.relationships+xml"/>
  <Override PartName="/xl/drawings/_rels/drawing6.xml.rels" ContentType="application/vnd.openxmlformats-package.relationships+xml"/>
  <Override PartName="/xl/drawings/_rels/drawing2.xml.rels" ContentType="application/vnd.openxmlformats-package.relationships+xml"/>
  <Override PartName="/xl/drawings/_rels/drawing27.xml.rels" ContentType="application/vnd.openxmlformats-package.relationships+xml"/>
  <Override PartName="/xl/drawings/_rels/drawing31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14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24.xml.rels" ContentType="application/vnd.openxmlformats-package.relationship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19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xl/media/image29.jpeg" ContentType="image/jpeg"/>
  <Override PartName="/xl/media/image7.jpeg" ContentType="image/jpeg"/>
  <Override PartName="/xl/media/image28.jpeg" ContentType="image/jpeg"/>
  <Override PartName="/xl/media/image6.jpeg" ContentType="image/jpeg"/>
  <Override PartName="/xl/media/image27.jpeg" ContentType="image/jpeg"/>
  <Override PartName="/xl/media/image5.jpeg" ContentType="image/jpeg"/>
  <Override PartName="/xl/media/image26.jpeg" ContentType="image/jpeg"/>
  <Override PartName="/xl/media/image4.jpeg" ContentType="image/jpeg"/>
  <Override PartName="/xl/media/image25.jpeg" ContentType="image/jpeg"/>
  <Override PartName="/xl/media/image3.jpeg" ContentType="image/jpeg"/>
  <Override PartName="/xl/media/image24.jpeg" ContentType="image/jpeg"/>
  <Override PartName="/xl/media/image2.jpeg" ContentType="image/jpeg"/>
  <Override PartName="/xl/media/image23.jpeg" ContentType="image/jpeg"/>
  <Override PartName="/xl/media/image1.jpeg" ContentType="image/jpeg"/>
  <Override PartName="/xl/media/image22.jpeg" ContentType="image/jpeg"/>
  <Override PartName="/xl/media/image21.jpeg" ContentType="image/jpeg"/>
  <Override PartName="/xl/media/image19.jpeg" ContentType="image/jpeg"/>
  <Override PartName="/xl/media/image20.jpeg" ContentType="image/jpeg"/>
  <Override PartName="/xl/media/image35.jpeg" ContentType="image/jpeg"/>
  <Override PartName="/xl/media/image36.jpeg" ContentType="image/jpeg"/>
  <Override PartName="/xl/media/image37.jpeg" ContentType="image/jpeg"/>
  <Override PartName="/xl/media/image38.jpeg" ContentType="image/jpeg"/>
  <Override PartName="/xl/media/image40.jpeg" ContentType="image/jpeg"/>
  <Override PartName="/xl/media/image39.jpeg" ContentType="image/jpeg"/>
  <Override PartName="/xl/media/image41.jpeg" ContentType="image/jpeg"/>
  <Override PartName="/xl/media/image42.jpeg" ContentType="image/jpeg"/>
  <Override PartName="/xl/media/image43.jpeg" ContentType="image/jpeg"/>
  <Override PartName="/xl/media/image44.jpeg" ContentType="image/jpeg"/>
  <Override PartName="/xl/media/image45.jpeg" ContentType="image/jpeg"/>
  <Override PartName="/xl/media/image34.jpeg" ContentType="image/jpeg"/>
  <Override PartName="/xl/media/image46.jpeg" ContentType="image/jpeg"/>
  <Override PartName="/xl/media/image8.jpeg" ContentType="image/jpeg"/>
  <Override PartName="/xl/media/image11.jpeg" ContentType="image/jpeg"/>
  <Override PartName="/xl/media/image33.jpeg" ContentType="image/jpeg"/>
  <Override PartName="/xl/media/image32.jpeg" ContentType="image/jpeg"/>
  <Override PartName="/xl/media/image31.jpeg" ContentType="image/jpeg"/>
  <Override PartName="/xl/media/image30.jpeg" ContentType="image/jpeg"/>
  <Override PartName="/xl/media/image9.jpeg" ContentType="image/jpeg"/>
  <Override PartName="/xl/media/image12.jpeg" ContentType="image/jpeg"/>
  <Override PartName="/xl/media/image10.jpeg" ContentType="image/jpeg"/>
  <Override PartName="/xl/media/image47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arch" sheetId="1" state="visible" r:id="rId3"/>
    <sheet name="Search Results" sheetId="2" state="visible" r:id="rId4"/>
    <sheet name="Application Compare" sheetId="3" state="visible" r:id="rId5"/>
    <sheet name="Enquiries Log" sheetId="4" state="visible" r:id="rId6"/>
    <sheet name="SearchDB" sheetId="5" state="hidden" r:id="rId7"/>
    <sheet name="Master Overview" sheetId="6" state="visible" r:id="rId8"/>
    <sheet name="Overview" sheetId="7" state="visible" r:id="rId9"/>
    <sheet name="Yield Strength" sheetId="8" state="visible" r:id="rId10"/>
    <sheet name="Tensile Strength" sheetId="9" state="visible" r:id="rId11"/>
    <sheet name="Impact Properties" sheetId="10" state="visible" r:id="rId12"/>
    <sheet name="Grade Comparison" sheetId="11" state="visible" r:id="rId13"/>
    <sheet name="Weldability" sheetId="12" state="visible" r:id="rId14"/>
    <sheet name="Cross-Material Strength" sheetId="13" state="visible" r:id="rId15"/>
    <sheet name="Strength-to-Weight" sheetId="14" state="visible" r:id="rId16"/>
    <sheet name="Design Standards" sheetId="15" state="visible" r:id="rId17"/>
    <sheet name="SS Catalogue (TSA)" sheetId="16" state="visible" r:id="rId18"/>
    <sheet name="SS SQ Tube" sheetId="17" state="visible" r:id="rId19"/>
    <sheet name="SS RHS Tube" sheetId="18" state="visible" r:id="rId20"/>
    <sheet name="SS Slotted Tube" sheetId="19" state="visible" r:id="rId21"/>
    <sheet name="SS Round Tube" sheetId="20" state="visible" r:id="rId22"/>
    <sheet name="MS Catalogue (JYF)" sheetId="21" state="visible" r:id="rId23"/>
    <sheet name="MS Shipbuild Flat" sheetId="22" state="visible" r:id="rId24"/>
    <sheet name="MS Equal Angles" sheetId="23" state="visible" r:id="rId25"/>
    <sheet name="MS Unequal Angles" sheetId="24" state="visible" r:id="rId26"/>
    <sheet name="MS Lipped Channel" sheetId="25" state="visible" r:id="rId27"/>
    <sheet name="MS Plain Channel" sheetId="26" state="visible" r:id="rId28"/>
    <sheet name="MS Carbon Pipe" sheetId="27" state="visible" r:id="rId29"/>
    <sheet name="MS Welded Pipe" sheetId="28" state="visible" r:id="rId30"/>
    <sheet name="MS HR Plates" sheetId="29" state="visible" r:id="rId31"/>
    <sheet name="MS Chequered Plate" sheetId="30" state="visible" r:id="rId32"/>
    <sheet name="MS SHS" sheetId="31" state="visible" r:id="rId33"/>
    <sheet name="MS RHS" sheetId="32" state="visible" r:id="rId34"/>
    <sheet name="MS Bar Sections" sheetId="33" state="visible" r:id="rId35"/>
    <sheet name="MS Channel &amp; Rebar" sheetId="34" state="visible" r:id="rId36"/>
    <sheet name="MS Wide Flange" sheetId="35" state="visible" r:id="rId37"/>
    <sheet name="MS Galv Sheets" sheetId="36" state="visible" r:id="rId38"/>
    <sheet name="Weight Calculator" sheetId="37" state="visible" r:id="rId39"/>
    <sheet name="Cost Estimator" sheetId="38" state="visible" r:id="rId40"/>
    <sheet name="Equiv Section Finder" sheetId="39" state="visible" r:id="rId41"/>
    <sheet name="Unit Conversions" sheetId="40" state="visible" r:id="rId42"/>
    <sheet name="Glossary" sheetId="41" state="visible" r:id="rId43"/>
    <sheet name="Platform Load Calc" sheetId="42" state="visible" r:id="rId44"/>
    <sheet name="Fischer FBN II" sheetId="43" state="visible" r:id="rId45"/>
    <sheet name="Fischer FAZ II" sheetId="44" state="visible" r:id="rId46"/>
    <sheet name="Fischer FIS V" sheetId="45" state="visible" r:id="rId47"/>
    <sheet name="Fischer FH II" sheetId="46" state="visible" r:id="rId48"/>
    <sheet name="Fischer FHB II" sheetId="47" state="visible" r:id="rId49"/>
    <sheet name="Fischer FZA Zykon" sheetId="48" state="visible" r:id="rId50"/>
    <sheet name="Fischer Nylon &amp; Misc" sheetId="49" state="visible" r:id="rId51"/>
  </sheets>
  <definedNames>
    <definedName function="false" hidden="true" localSheetId="12" name="_xlnm._FilterDatabase" vbProcedure="false">'Cross-Material Strength'!$B$5:$N$26</definedName>
    <definedName function="false" hidden="true" localSheetId="3" name="_xlnm._FilterDatabase" vbProcedure="false">'Enquiries Log'!$B$5:$K$55</definedName>
    <definedName function="false" hidden="true" localSheetId="40" name="_xlnm._FilterDatabase" vbProcedure="false">Glossary!$B$4:$E$40</definedName>
    <definedName function="false" hidden="true" localSheetId="10" name="_xlnm._FilterDatabase" vbProcedure="false">'Grade Comparison'!$B$5:$M$42</definedName>
    <definedName function="false" hidden="true" localSheetId="32" name="_xlnm._FilterDatabase" vbProcedure="false">'MS Bar Sections'!$B$5:$F$152</definedName>
    <definedName function="false" hidden="true" localSheetId="26" name="_xlnm._FilterDatabase" vbProcedure="false">'MS Carbon Pipe'!$B$5:$F$29</definedName>
    <definedName function="false" hidden="true" localSheetId="33" name="_xlnm._FilterDatabase" vbProcedure="false">'MS Channel &amp; Rebar'!$B$5:$F$84</definedName>
    <definedName function="false" hidden="true" localSheetId="22" name="_xlnm._FilterDatabase" vbProcedure="false">'MS Equal Angles'!$B$5:$F$135</definedName>
    <definedName function="false" hidden="true" localSheetId="35" name="_xlnm._FilterDatabase" vbProcedure="false">'MS Galv Sheets'!$B$5:$F$50</definedName>
    <definedName function="false" hidden="true" localSheetId="28" name="_xlnm._FilterDatabase" vbProcedure="false">'MS HR Plates'!$B$5:$F$49</definedName>
    <definedName function="false" hidden="true" localSheetId="24" name="_xlnm._FilterDatabase" vbProcedure="false">'MS Lipped Channel'!$B$5:$F$69</definedName>
    <definedName function="false" hidden="true" localSheetId="25" name="_xlnm._FilterDatabase" vbProcedure="false">'MS Plain Channel'!$B$5:$F$68</definedName>
    <definedName function="false" hidden="true" localSheetId="31" name="_xlnm._FilterDatabase" vbProcedure="false">'MS RHS'!$B$5:$F$130</definedName>
    <definedName function="false" hidden="true" localSheetId="21" name="_xlnm._FilterDatabase" vbProcedure="false">'MS Shipbuild Flat'!$B$5:$F$152</definedName>
    <definedName function="false" hidden="true" localSheetId="30" name="_xlnm._FilterDatabase" vbProcedure="false">'MS SHS'!$B$5:$F$132</definedName>
    <definedName function="false" hidden="true" localSheetId="23" name="_xlnm._FilterDatabase" vbProcedure="false">'MS Unequal Angles'!$B$5:$F$73</definedName>
    <definedName function="false" hidden="true" localSheetId="27" name="_xlnm._FilterDatabase" vbProcedure="false">'MS Welded Pipe'!$B$5:$F$35</definedName>
    <definedName function="false" hidden="true" localSheetId="34" name="_xlnm._FilterDatabase" vbProcedure="false">'MS Wide Flange'!$B$5:$F$43</definedName>
    <definedName function="false" hidden="false" localSheetId="0" name="_xlnm.Print_Area" vbProcedure="false">Search!$A$1:$J$25</definedName>
    <definedName function="false" hidden="true" localSheetId="19" name="_xlnm._FilterDatabase" vbProcedure="false">'SS Round Tube'!$B$12:$P$68</definedName>
    <definedName function="false" hidden="false" name="CrossMaterial" vbProcedure="false">'Cross-Material Strength'!$B$5:$L$26</definedName>
    <definedName function="false" hidden="false" name="MS_CarbonPipe" vbProcedure="false">'MS Carbon Pipe'!$B$5:$F$29</definedName>
    <definedName function="false" hidden="false" name="MS_EqualAngles" vbProcedure="false">'MS Equal Angles'!$B$5:$F$135</definedName>
    <definedName function="false" hidden="false" name="MS_HRPlates" vbProcedure="false">'MS HR Plates'!$B$5:$F$49</definedName>
    <definedName function="false" hidden="false" name="MS_LippedChannel" vbProcedure="false">'MS Lipped Channel'!$B$5:$F$69</definedName>
    <definedName function="false" hidden="false" name="MS_PlainChannel" vbProcedure="false">'MS Plain Channel'!$B$5:$F$68</definedName>
    <definedName function="false" hidden="false" name="MS_RHS_Data" vbProcedure="false">'MS RHS'!$B$5:$F$130</definedName>
    <definedName function="false" hidden="false" name="MS_ShipbuildFlat" vbProcedure="false">'MS Shipbuild Flat'!$B$5:$F$152</definedName>
    <definedName function="false" hidden="false" name="MS_SHS_Data" vbProcedure="false">'MS SHS'!$B$5:$F$132</definedName>
    <definedName function="false" hidden="false" name="MS_UnequalAngles" vbProcedure="false">'MS Unequal Angles'!$B$5:$F$73</definedName>
    <definedName function="false" hidden="false" name="StrengthToWeight" vbProcedure="false">'Strength-to-Weight'!$B$5:$I$20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<sst xmlns="http://schemas.openxmlformats.org/spreadsheetml/2006/main" count="19599" uniqueCount="6054">
  <si>
    <t xml:space="preserve">Search the catalogue</t>
  </si>
  <si>
    <t xml:space="preserve">Type one or more keywords in the blue cell below (D5). Multiple words act as AND filters — e.g. "S275 plate" finds rows containing both. Leave blank to show no results. Results appear automatically in the Search Results sheet.</t>
  </si>
  <si>
    <t xml:space="preserve">Tokens (helper)</t>
  </si>
  <si>
    <t xml:space="preserve">Search term:</t>
  </si>
  <si>
    <t xml:space="preserve">Filter by category (optional):</t>
  </si>
  <si>
    <t xml:space="preserve">(All)</t>
  </si>
  <si>
    <t xml:space="preserve">→ View Results</t>
  </si>
  <si>
    <t xml:space="preserve">Application compare — quick presets</t>
  </si>
  <si>
    <t xml:space="preserve">Click any preset below to jump to a curated side-by-side comparison for common Singapore at-height applications.</t>
  </si>
  <si>
    <t xml:space="preserve">→  Handrail</t>
  </si>
  <si>
    <t xml:space="preserve">SS304 vs galvanised mild steel — Sungei Kadut handrail comparison</t>
  </si>
  <si>
    <t xml:space="preserve">→  Platforms</t>
  </si>
  <si>
    <t xml:space="preserve">Open-grating vs chequered plate vs SS plank — work-at-height platforms</t>
  </si>
  <si>
    <t xml:space="preserve">→  Cat ladders</t>
  </si>
  <si>
    <t xml:space="preserve">Aluminium 6063 vs SS304 vs galv MS — stile + rung sizing</t>
  </si>
  <si>
    <t xml:space="preserve">→  Ramps</t>
  </si>
  <si>
    <t xml:space="preserve">Chequered plate vs grating — ramps for walk + light wheel loads</t>
  </si>
  <si>
    <t xml:space="preserve">Quick access — click any sheet to jump</t>
  </si>
  <si>
    <t xml:space="preserve">Master Overview</t>
  </si>
  <si>
    <t xml:space="preserve">Overview</t>
  </si>
  <si>
    <t xml:space="preserve">Yield Strength</t>
  </si>
  <si>
    <t xml:space="preserve">Tensile Strength</t>
  </si>
  <si>
    <t xml:space="preserve">Impact Properties</t>
  </si>
  <si>
    <t xml:space="preserve">Grade Comparison</t>
  </si>
  <si>
    <t xml:space="preserve">Weldability</t>
  </si>
  <si>
    <t xml:space="preserve">Cross-Material Strength</t>
  </si>
  <si>
    <t xml:space="preserve">Strength-to-Weight</t>
  </si>
  <si>
    <t xml:space="preserve">Design Standards</t>
  </si>
  <si>
    <t xml:space="preserve">SS Catalogue (TSA)</t>
  </si>
  <si>
    <t xml:space="preserve">MS Catalogue (JYF)</t>
  </si>
  <si>
    <t xml:space="preserve">Application Compare</t>
  </si>
  <si>
    <t xml:space="preserve">Weight Calculator</t>
  </si>
  <si>
    <t xml:space="preserve">Cost Estimator</t>
  </si>
  <si>
    <t xml:space="preserve">Equiv Section Finder</t>
  </si>
  <si>
    <t xml:space="preserve">Glossary</t>
  </si>
  <si>
    <t xml:space="preserve">Search Results</t>
  </si>
  <si>
    <t xml:space="preserve">Results update automatically when you type a keyword in the Search sheet. Leave the search term blank to show all data.</t>
  </si>
  <si>
    <t xml:space="preserve">← Back to Search</t>
  </si>
  <si>
    <t xml:space="preserve">#</t>
  </si>
  <si>
    <t xml:space="preserve">Sheet Name</t>
  </si>
  <si>
    <t xml:space="preserve">Category</t>
  </si>
  <si>
    <t xml:space="preserve">Row</t>
  </si>
  <si>
    <t xml:space="preserve">Col A</t>
  </si>
  <si>
    <t xml:space="preserve">Col B</t>
  </si>
  <si>
    <t xml:space="preserve">Col C</t>
  </si>
  <si>
    <t xml:space="preserve">Col D</t>
  </si>
  <si>
    <t xml:space="preserve">Col E</t>
  </si>
  <si>
    <t xml:space="preserve">Col G</t>
  </si>
  <si>
    <t xml:space="preserve">Application Compare — at-a-glance specifications for common at-height work</t>
  </si>
  <si>
    <t xml:space="preserve">1.  Handrail — SS304 vs galvanised mild steel</t>
  </si>
  <si>
    <t xml:space="preserve">Top-rail and post for industrial walkway / platform handrail (Singapore typical: ø42.4 × 2.6 mm pipe, 1100 mm height).</t>
  </si>
  <si>
    <t xml:space="preserve">Property</t>
  </si>
  <si>
    <t xml:space="preserve">SS304 (TSA)</t>
  </si>
  <si>
    <t xml:space="preserve">Galv MS (JYF)</t>
  </si>
  <si>
    <t xml:space="preserve">Material standard</t>
  </si>
  <si>
    <t xml:space="preserve">BS EN 10088-2 grade 1.4301</t>
  </si>
  <si>
    <t xml:space="preserve">BS EN 10025-2 S275JR + BS EN ISO 1461 galv</t>
  </si>
  <si>
    <t xml:space="preserve">Top rail section</t>
  </si>
  <si>
    <t xml:space="preserve">ø42.4 × 2.6 mm pipe (SS round tube)</t>
  </si>
  <si>
    <t xml:space="preserve">ø42.4 × 3.2 mm MS welded pipe</t>
  </si>
  <si>
    <t xml:space="preserve">Yield strength fy</t>
  </si>
  <si>
    <t xml:space="preserve">≥ 210 MPa</t>
  </si>
  <si>
    <t xml:space="preserve">275 MPa</t>
  </si>
  <si>
    <t xml:space="preserve">Tensile strength Rm</t>
  </si>
  <si>
    <t xml:space="preserve">520–720 MPa (BS EN 10088-2)</t>
  </si>
  <si>
    <t xml:space="preserve">410–560 MPa (BS EN 10025-2)</t>
  </si>
  <si>
    <t xml:space="preserve">Density ρ</t>
  </si>
  <si>
    <t xml:space="preserve">7,900 kg/m³</t>
  </si>
  <si>
    <t xml:space="preserve">7,850 kg/m³</t>
  </si>
  <si>
    <t xml:space="preserve">Corrosion class C5 lifespan</t>
  </si>
  <si>
    <t xml:space="preserve">30+ yrs (passive)</t>
  </si>
  <si>
    <t xml:space="preserve">10–20 yrs (Z180 + 85 µm topcoat)</t>
  </si>
  <si>
    <t xml:space="preserve">Outdoor maintenance</t>
  </si>
  <si>
    <t xml:space="preserve">Wash &amp; passivate weld zones</t>
  </si>
  <si>
    <t xml:space="preserve">Recoat every 5–8 yrs in C5</t>
  </si>
  <si>
    <t xml:space="preserve">Indicative cost / m</t>
  </si>
  <si>
    <t xml:space="preserve">SGD 95–125 (TSA)</t>
  </si>
  <si>
    <t xml:space="preserve">SGD 38–55 (JYF, post-galv)</t>
  </si>
  <si>
    <t xml:space="preserve">Galvanic risk vs steel/concrete</t>
  </si>
  <si>
    <t xml:space="preserve">Low (passivated)</t>
  </si>
  <si>
    <t xml:space="preserve">None (sacrificial)</t>
  </si>
  <si>
    <t xml:space="preserve">Compliance reference</t>
  </si>
  <si>
    <t xml:space="preserve">WSH (Workplace Safety) Subsidiary Reg 9 — guard-rail strength 0.74 kN/m horizontal</t>
  </si>
  <si>
    <t xml:space="preserve">Same — verify weld throat ≥ wall thickness</t>
  </si>
  <si>
    <t xml:space="preserve">Best for</t>
  </si>
  <si>
    <t xml:space="preserve">Coastal / chemical / food-grade plants</t>
  </si>
  <si>
    <t xml:space="preserve">Inland sheltered / cost-led projects</t>
  </si>
  <si>
    <t xml:space="preserve">Source sheets</t>
  </si>
  <si>
    <t xml:space="preserve">SS Catalogue (TSA), SS Round Tube</t>
  </si>
  <si>
    <t xml:space="preserve">MS Catalogue (JYF), MS Welded Pipe</t>
  </si>
  <si>
    <t xml:space="preserve">2.  Work-at-height platforms — grating vs chequered plate</t>
  </si>
  <si>
    <t xml:space="preserve">Decking for elevated maintenance walkways (Singapore typical: 1.0 × 4.0 m bay, 5.0 kN/m² imposed UDL per BS EN 1991-1-1 Cat E1).</t>
  </si>
  <si>
    <t xml:space="preserve">Open steel grating</t>
  </si>
  <si>
    <t xml:space="preserve">Chequered plate (MS)</t>
  </si>
  <si>
    <t xml:space="preserve">SS plank / grating</t>
  </si>
  <si>
    <t xml:space="preserve">Typical reference</t>
  </si>
  <si>
    <t xml:space="preserve">BS 4592-0 — open-bar floors, walkways</t>
  </si>
  <si>
    <t xml:space="preserve">BS 4360 / EN 10025-2 — 5–8 mm chequered MS</t>
  </si>
  <si>
    <t xml:space="preserve">TSA SS304 plank or 30 × 5 mm SS bar grating</t>
  </si>
  <si>
    <t xml:space="preserve">Section / build-up</t>
  </si>
  <si>
    <t xml:space="preserve">30 × 3 + 6 mm bearing bar @ 41 mm c/c</t>
  </si>
  <si>
    <t xml:space="preserve">5 mm or 6 mm chequer plate + L-frame</t>
  </si>
  <si>
    <t xml:space="preserve">30 × 3 mm SS bearing bar @ 30 mm c/c</t>
  </si>
  <si>
    <t xml:space="preserve">Self weight</t>
  </si>
  <si>
    <t xml:space="preserve">≈ 27 kg/m²</t>
  </si>
  <si>
    <t xml:space="preserve">≈ 47 kg/m² (5 mm) / 56 kg/m² (6 mm)</t>
  </si>
  <si>
    <t xml:space="preserve">≈ 30 kg/m²</t>
  </si>
  <si>
    <t xml:space="preserve">UDL capacity (1 m span)</t>
  </si>
  <si>
    <t xml:space="preserve">5.0–7.5 kN/m² typical</t>
  </si>
  <si>
    <t xml:space="preserve">5 mm: 4.0 kN/m²; 6 mm: 6.0 kN/m²</t>
  </si>
  <si>
    <t xml:space="preserve">5.0–7.0 kN/m²</t>
  </si>
  <si>
    <t xml:space="preserve">Slip resistance (wet)</t>
  </si>
  <si>
    <t xml:space="preserve">Excellent — serrated bearing bars</t>
  </si>
  <si>
    <t xml:space="preserve">Moderate — diamond pattern wears off</t>
  </si>
  <si>
    <t xml:space="preserve">Excellent — serrated SS bearing bars</t>
  </si>
  <si>
    <t xml:space="preserve">Drainage / debris</t>
  </si>
  <si>
    <t xml:space="preserve">Excellent (open)</t>
  </si>
  <si>
    <t xml:space="preserve">Poor (water ponding)</t>
  </si>
  <si>
    <t xml:space="preserve">Corrosion C5 lifespan</t>
  </si>
  <si>
    <t xml:space="preserve">20+ yrs (HDG to ISO 1461)</t>
  </si>
  <si>
    <t xml:space="preserve">10–15 yrs (paint + galv)</t>
  </si>
  <si>
    <t xml:space="preserve">Indicative cost / m²</t>
  </si>
  <si>
    <t xml:space="preserve">SGD 110–150</t>
  </si>
  <si>
    <t xml:space="preserve">SGD 95–135 (5 mm) / 125–170 (6 mm)</t>
  </si>
  <si>
    <t xml:space="preserve">SGD 240–320</t>
  </si>
  <si>
    <t xml:space="preserve">Falling-object safety</t>
  </si>
  <si>
    <t xml:space="preserve">Toe-board still required (BS 4211)</t>
  </si>
  <si>
    <t xml:space="preserve">Solid — no toe-board penetration</t>
  </si>
  <si>
    <t xml:space="preserve">Toe-board still required</t>
  </si>
  <si>
    <t xml:space="preserve">Outdoor walkways, drainage-critical decks</t>
  </si>
  <si>
    <t xml:space="preserve">Wet-process catwalks, food/storage</t>
  </si>
  <si>
    <t xml:space="preserve">Coastal &amp; process plants</t>
  </si>
  <si>
    <t xml:space="preserve">MS Catalogue (JYF), Platform Load Calc</t>
  </si>
  <si>
    <t xml:space="preserve">MS Chequered Plate, MS HR Plates</t>
  </si>
  <si>
    <t xml:space="preserve">3.  Cat ladders — aluminium 6063 vs SS304 vs galvanised MS</t>
  </si>
  <si>
    <t xml:space="preserve">Vertical fixed ladder per BS EN ISO 14122-4 (Singapore typical: 2 × stiles ≥ 65 × 30 × 3 mm channel, rungs ≥ 25 mm wide flat tread).</t>
  </si>
  <si>
    <t xml:space="preserve">Aluminium 6063-T6</t>
  </si>
  <si>
    <t xml:space="preserve">SS304</t>
  </si>
  <si>
    <t xml:space="preserve">Galvanised MS</t>
  </si>
  <si>
    <t xml:space="preserve">Stile section (typical)</t>
  </si>
  <si>
    <t xml:space="preserve">70 × 30 × 3 mm channel</t>
  </si>
  <si>
    <t xml:space="preserve">65 × 30 × 3 mm SS304 channel</t>
  </si>
  <si>
    <t xml:space="preserve">65 × 30 × 5 mm hot-rolled C-channel + galv</t>
  </si>
  <si>
    <t xml:space="preserve">170 MPa (EN 755-2 min)</t>
  </si>
  <si>
    <t xml:space="preserve">210 MPa</t>
  </si>
  <si>
    <t xml:space="preserve">Modulus E</t>
  </si>
  <si>
    <t xml:space="preserve">69 GPa</t>
  </si>
  <si>
    <t xml:space="preserve">200 GPa</t>
  </si>
  <si>
    <t xml:space="preserve">210 GPa</t>
  </si>
  <si>
    <t xml:space="preserve">2,700 kg/m³</t>
  </si>
  <si>
    <t xml:space="preserve">Stile self-weight</t>
  </si>
  <si>
    <t xml:space="preserve">≈ 1.2 kg/m</t>
  </si>
  <si>
    <t xml:space="preserve">≈ 3.1 kg/m</t>
  </si>
  <si>
    <t xml:space="preserve">≈ 4.2 kg/m</t>
  </si>
  <si>
    <t xml:space="preserve">Rung — flat tread (EN ISO 14122-4 §5.2.2.4)</t>
  </si>
  <si>
    <t xml:space="preserve">30 × 5 mm flat bar OR 25 × 25 × 3 SHS</t>
  </si>
  <si>
    <t xml:space="preserve">30 × 5 mm SS304 flat bar</t>
  </si>
  <si>
    <t xml:space="preserve">30 × 5 mm MS flat bar (galvanised)</t>
  </si>
  <si>
    <t xml:space="preserve">Round-bar rungs?</t>
  </si>
  <si>
    <t xml:space="preserve">Not permitted</t>
  </si>
  <si>
    <t xml:space="preserve">Lifespan (Singapore C5)</t>
  </si>
  <si>
    <t xml:space="preserve">30+ yrs (anodised)</t>
  </si>
  <si>
    <t xml:space="preserve">30+ yrs</t>
  </si>
  <si>
    <t xml:space="preserve">10–20 yrs (HDG 85 µm)</t>
  </si>
  <si>
    <t xml:space="preserve">Bolting note</t>
  </si>
  <si>
    <t xml:space="preserve">Use A4 SS only — no galv steel in contact</t>
  </si>
  <si>
    <t xml:space="preserve">A4 SS bolts; isolation not required</t>
  </si>
  <si>
    <t xml:space="preserve">A4 or HDG bolts</t>
  </si>
  <si>
    <t xml:space="preserve">Indicative cost / m of ladder</t>
  </si>
  <si>
    <t xml:space="preserve">SGD 240–340</t>
  </si>
  <si>
    <t xml:space="preserve">SGD 380–520</t>
  </si>
  <si>
    <t xml:space="preserve">SGD 160–230</t>
  </si>
  <si>
    <t xml:space="preserve">Roof / coastal / weight-critical</t>
  </si>
  <si>
    <t xml:space="preserve">Process plants / chemical exposure</t>
  </si>
  <si>
    <t xml:space="preserve">Sheltered industrial buildings</t>
  </si>
  <si>
    <t xml:space="preserve">Cross-Material Strength, Strength-to-Weight</t>
  </si>
  <si>
    <t xml:space="preserve">MS Catalogue (JYF), MS Lipped Channel</t>
  </si>
  <si>
    <t xml:space="preserve">4.  Ramps — chequered plate vs open grating</t>
  </si>
  <si>
    <t xml:space="preserve">Pedestrian + light-wheel ramps (Singapore typical: ≤ 1:12 gradient, 5.0 kN/m² UDL + 4.5 kN point per BS EN 1991-1-1 Cat C3/E1).</t>
  </si>
  <si>
    <t xml:space="preserve">Chequered plate ramp (MS 6 mm)</t>
  </si>
  <si>
    <t xml:space="preserve">Open grating ramp (galv steel)</t>
  </si>
  <si>
    <t xml:space="preserve">SS chequered plate ramp</t>
  </si>
  <si>
    <t xml:space="preserve">Material reference</t>
  </si>
  <si>
    <t xml:space="preserve">BS EN 10025-2 + BS EN ISO 1461</t>
  </si>
  <si>
    <t xml:space="preserve">BS 4592-0</t>
  </si>
  <si>
    <t xml:space="preserve">≈ 47 kg/m² (5 mm)</t>
  </si>
  <si>
    <t xml:space="preserve">5–6 kN/m²</t>
  </si>
  <si>
    <t xml:space="preserve">5–7.5 kN/m²</t>
  </si>
  <si>
    <t xml:space="preserve">Moderate — pattern wears with traffic</t>
  </si>
  <si>
    <t xml:space="preserve">Excellent — serrated bars</t>
  </si>
  <si>
    <t xml:space="preserve">Moderate — pattern depth ~1 mm</t>
  </si>
  <si>
    <t xml:space="preserve">Wheel-load suitability</t>
  </si>
  <si>
    <t xml:space="preserve">Trolleys, hand pallet trucks</t>
  </si>
  <si>
    <t xml:space="preserve">Trolleys (cleat width ≥ 50 mm)</t>
  </si>
  <si>
    <t xml:space="preserve">Trolleys, food-trolleys</t>
  </si>
  <si>
    <t xml:space="preserve">Drainage</t>
  </si>
  <si>
    <t xml:space="preserve">Poor — needs cross-fall ≥ 1%</t>
  </si>
  <si>
    <t xml:space="preserve">Poor</t>
  </si>
  <si>
    <t xml:space="preserve">10–15 yrs (galv + paint)</t>
  </si>
  <si>
    <t xml:space="preserve">20+ yrs (HDG)</t>
  </si>
  <si>
    <t xml:space="preserve">Edge protection (BS EN ISO 14122-3)</t>
  </si>
  <si>
    <t xml:space="preserve">75 mm toe-board + 1100 mm guardrail</t>
  </si>
  <si>
    <t xml:space="preserve">Same</t>
  </si>
  <si>
    <t xml:space="preserve">SGD 95–135</t>
  </si>
  <si>
    <t xml:space="preserve">Indoor / sheltered ramps</t>
  </si>
  <si>
    <t xml:space="preserve">Outdoor / drainage-critical</t>
  </si>
  <si>
    <t xml:space="preserve">Coastal / chemical / food</t>
  </si>
  <si>
    <t xml:space="preserve">Highlighted yellow rows mark the key decision drivers (cost, lifespan, capacity). Indicative SGD prices — verify with current TSA / JYF quotes.</t>
  </si>
  <si>
    <t xml:space="preserve">Enquiries &amp; Questions Log</t>
  </si>
  <si>
    <t xml:space="preserve">Log enquiries, technical questions, and quote requests. Status tracking included.</t>
  </si>
  <si>
    <t xml:space="preserve">Date</t>
  </si>
  <si>
    <t xml:space="preserve">Name</t>
  </si>
  <si>
    <t xml:space="preserve">Company</t>
  </si>
  <si>
    <t xml:space="preserve">Email</t>
  </si>
  <si>
    <t xml:space="preserve">Subject</t>
  </si>
  <si>
    <t xml:space="preserve">Question / Enquiry</t>
  </si>
  <si>
    <t xml:space="preserve">Status</t>
  </si>
  <si>
    <t xml:space="preserve">Response / Notes</t>
  </si>
  <si>
    <t xml:space="preserve">Responded By</t>
  </si>
  <si>
    <t xml:space="preserve">SheetName</t>
  </si>
  <si>
    <t xml:space="preserve">ColA</t>
  </si>
  <si>
    <t xml:space="preserve">ColB</t>
  </si>
  <si>
    <t xml:space="preserve">ColC</t>
  </si>
  <si>
    <t xml:space="preserve">ColD</t>
  </si>
  <si>
    <t xml:space="preserve">ColE</t>
  </si>
  <si>
    <t xml:space="preserve">ColF</t>
  </si>
  <si>
    <t xml:space="preserve">Searchable</t>
  </si>
  <si>
    <t xml:space="preserve">IsMatch</t>
  </si>
  <si>
    <t xml:space="preserve">MatchNum</t>
  </si>
  <si>
    <t xml:space="preserve">Reference</t>
  </si>
  <si>
    <t xml:space="preserve">Structural Steel Comparison &amp; Catalogue Tool — Master Index</t>
  </si>
  <si>
    <t xml:space="preserve">EN 10025 Analysis · Stainless Steel (TSA) · Mild Steel (JYF) · Calculators &amp; Reference</t>
  </si>
  <si>
    <t xml:space="preserve">EN 10025 — Grade Analysis</t>
  </si>
  <si>
    <t xml:space="preserve">Sheet Tab</t>
  </si>
  <si>
    <t xml:space="preserve">Description</t>
  </si>
  <si>
    <t xml:space="preserve">Sheet Tab | Description</t>
  </si>
  <si>
    <t xml:space="preserve">Grade summary cards — S235 to S500</t>
  </si>
  <si>
    <t xml:space="preserve">Overview | Grade summary cards — S235 to S500</t>
  </si>
  <si>
    <t xml:space="preserve">ReH by thickness with charts</t>
  </si>
  <si>
    <t xml:space="preserve">Yield Strength | ReH by thickness with charts</t>
  </si>
  <si>
    <t xml:space="preserve">Rm ranges by thickness</t>
  </si>
  <si>
    <t xml:space="preserve">Tensile Strength | Rm ranges by thickness</t>
  </si>
  <si>
    <t xml:space="preserve">Charpy sub-grade matrix</t>
  </si>
  <si>
    <t xml:space="preserve">Impact Properties | Charpy sub-grade matrix</t>
  </si>
  <si>
    <t xml:space="preserve">Full side-by-side property table</t>
  </si>
  <si>
    <t xml:space="preserve">Grade Comparison | Full side-by-side property table</t>
  </si>
  <si>
    <t xml:space="preserve">CEV, preheat, PWHT notes (carbon + SS)</t>
  </si>
  <si>
    <t xml:space="preserve">Weldability | CEV, preheat, PWHT notes (carbon + SS)</t>
  </si>
  <si>
    <t xml:space="preserve">Cross-Material Comparison</t>
  </si>
  <si>
    <t xml:space="preserve">19 materials — CS · SS · Aluminium</t>
  </si>
  <si>
    <t xml:space="preserve">Cross-Material Strength | 19 materials — CS · SS · Aluminium</t>
  </si>
  <si>
    <t xml:space="preserve">Specific strength &amp; stiffness formulae</t>
  </si>
  <si>
    <t xml:space="preserve">Strength-to-Weight | Specific strength &amp; stiffness formulae</t>
  </si>
  <si>
    <t xml:space="preserve">Eurocode EC3/EC9 cross-reference</t>
  </si>
  <si>
    <t xml:space="preserve">Design Standards | Eurocode EC3/EC9 cross-reference</t>
  </si>
  <si>
    <t xml:space="preserve">SS — Stainless Steel Catalogue (TSA)</t>
  </si>
  <si>
    <t xml:space="preserve">TSA Industries overview &amp; product index</t>
  </si>
  <si>
    <t xml:space="preserve">SS Catalogue (TSA) | TSA Industries overview &amp; product index</t>
  </si>
  <si>
    <t xml:space="preserve">SS SQ Tube</t>
  </si>
  <si>
    <t xml:space="preserve">ASTM A554 square tube — size/thickness matrix</t>
  </si>
  <si>
    <t xml:space="preserve">SS SQ Tube | ASTM A554 square tube — size/thickness matrix</t>
  </si>
  <si>
    <t xml:space="preserve">SS RHS Tube</t>
  </si>
  <si>
    <t xml:space="preserve">ASTM A554 rectangular tube matrix</t>
  </si>
  <si>
    <t xml:space="preserve">SS RHS Tube | ASTM A554 rectangular tube matrix</t>
  </si>
  <si>
    <t xml:space="preserve">SS Slotted Tube</t>
  </si>
  <si>
    <t xml:space="preserve">ASTM A554 slotted tube</t>
  </si>
  <si>
    <t xml:space="preserve">SS Slotted Tube | ASTM A554 slotted tube</t>
  </si>
  <si>
    <t xml:space="preserve">SS Round Tube</t>
  </si>
  <si>
    <t xml:space="preserve">ASTM A554 round tube — 53 ODs</t>
  </si>
  <si>
    <t xml:space="preserve">SS Round Tube | ASTM A554 round tube — 53 ODs</t>
  </si>
  <si>
    <t xml:space="preserve">MS — Mild Steel Catalogue (Jin Yuan Fa)</t>
  </si>
  <si>
    <t xml:space="preserve">JYF overview &amp; product index</t>
  </si>
  <si>
    <t xml:space="preserve">MS Catalogue (JYF) | JYF overview &amp; product index</t>
  </si>
  <si>
    <t xml:space="preserve">MS Shipbuild Flat</t>
  </si>
  <si>
    <t xml:space="preserve">Flat bar — thickness × width</t>
  </si>
  <si>
    <t xml:space="preserve">MS Shipbuild Flat | Flat bar — thickness × width</t>
  </si>
  <si>
    <t xml:space="preserve">MS Equal Angles</t>
  </si>
  <si>
    <t xml:space="preserve">Equal leg angles H×B</t>
  </si>
  <si>
    <t xml:space="preserve">MS Equal Angles | Equal leg angles H×B</t>
  </si>
  <si>
    <t xml:space="preserve">MS Unequal Angles</t>
  </si>
  <si>
    <t xml:space="preserve">Unequal leg angles H×B</t>
  </si>
  <si>
    <t xml:space="preserve">MS Unequal Angles | Unequal leg angles H×B</t>
  </si>
  <si>
    <t xml:space="preserve">MS Lipped Channel</t>
  </si>
  <si>
    <t xml:space="preserve">Cold-formed lipped C-section</t>
  </si>
  <si>
    <t xml:space="preserve">MS Lipped Channel | Cold-formed lipped C-section</t>
  </si>
  <si>
    <t xml:space="preserve">MS Plain Channel</t>
  </si>
  <si>
    <t xml:space="preserve">Plain C-channel</t>
  </si>
  <si>
    <t xml:space="preserve">MS Plain Channel | Plain C-channel</t>
  </si>
  <si>
    <t xml:space="preserve">MS Carbon Pipe</t>
  </si>
  <si>
    <t xml:space="preserve">Ordinary carbon pipe — OD/wall/weight</t>
  </si>
  <si>
    <t xml:space="preserve">MS Carbon Pipe | Ordinary carbon pipe — OD/wall/weight</t>
  </si>
  <si>
    <t xml:space="preserve">MS Welded Pipe</t>
  </si>
  <si>
    <t xml:space="preserve">Welded pipe Classes AA/A1/B/C</t>
  </si>
  <si>
    <t xml:space="preserve">MS Welded Pipe | Welded pipe Classes AA/A1/B/C</t>
  </si>
  <si>
    <t xml:space="preserve">MS HR Plates</t>
  </si>
  <si>
    <t xml:space="preserve">Hot-rolled plates &amp; sheets</t>
  </si>
  <si>
    <t xml:space="preserve">MS HR Plates | Hot-rolled plates &amp; sheets</t>
  </si>
  <si>
    <t xml:space="preserve">MS Chequered Plate</t>
  </si>
  <si>
    <t xml:space="preserve">Tread plate</t>
  </si>
  <si>
    <t xml:space="preserve">MS Chequered Plate | Tread plate</t>
  </si>
  <si>
    <t xml:space="preserve">MS SHS</t>
  </si>
  <si>
    <t xml:space="preserve">Square hollow sections</t>
  </si>
  <si>
    <t xml:space="preserve">MS SHS | Square hollow sections</t>
  </si>
  <si>
    <t xml:space="preserve">MS RHS</t>
  </si>
  <si>
    <t xml:space="preserve">Rectangular hollow sections</t>
  </si>
  <si>
    <t xml:space="preserve">MS RHS | Rectangular hollow sections</t>
  </si>
  <si>
    <t xml:space="preserve">MS Bar Sections</t>
  </si>
  <si>
    <t xml:space="preserve">Square / Round / Hex bar</t>
  </si>
  <si>
    <t xml:space="preserve">MS Bar Sections | Square / Round / Hex bar</t>
  </si>
  <si>
    <t xml:space="preserve">MS Channel &amp; Rebar</t>
  </si>
  <si>
    <t xml:space="preserve">Channel + deformed rebar</t>
  </si>
  <si>
    <t xml:space="preserve">MS Channel &amp; Rebar | Channel + deformed rebar</t>
  </si>
  <si>
    <t xml:space="preserve">MS Wide Flange</t>
  </si>
  <si>
    <t xml:space="preserve">W-sections + Tee bar</t>
  </si>
  <si>
    <t xml:space="preserve">MS Wide Flange | W-sections + Tee bar</t>
  </si>
  <si>
    <t xml:space="preserve">MS Galv Sheets</t>
  </si>
  <si>
    <t xml:space="preserve">Galvanized / electro-galv / floor grating</t>
  </si>
  <si>
    <t xml:space="preserve">MS Galv Sheets | Galvanized / electro-galv / floor grating</t>
  </si>
  <si>
    <t xml:space="preserve">Calculators &amp; Reference</t>
  </si>
  <si>
    <t xml:space="preserve">Interactive section weight estimator</t>
  </si>
  <si>
    <t xml:space="preserve">Weight Calculator | Interactive section weight estimator</t>
  </si>
  <si>
    <t xml:space="preserve">Material cost comparison ($/kg → $/m)</t>
  </si>
  <si>
    <t xml:space="preserve">Cost Estimator | Material cost comparison ($/kg → $/m)</t>
  </si>
  <si>
    <t xml:space="preserve">MS ↔ SS hollow section cross-reference</t>
  </si>
  <si>
    <t xml:space="preserve">Equiv Section Finder | MS ↔ SS hollow section cross-reference</t>
  </si>
  <si>
    <t xml:space="preserve">Fischer FBN II</t>
  </si>
  <si>
    <t xml:space="preserve">FBN II bolt anchor — non-cracked concrete, M6–M20</t>
  </si>
  <si>
    <t xml:space="preserve">Fischer FBN II | FBN II bolt anchor — non-cracked concrete, M6–M20</t>
  </si>
  <si>
    <t xml:space="preserve">Fischer FAZ II</t>
  </si>
  <si>
    <t xml:space="preserve">FAZ II high-perf anchor — cracked concrete, seismic C1/C2</t>
  </si>
  <si>
    <t xml:space="preserve">Fischer FAZ II | FAZ II high-perf anchor — cracked concrete, seismic C1/C2</t>
  </si>
  <si>
    <t xml:space="preserve">Fischer FIS V</t>
  </si>
  <si>
    <t xml:space="preserve">FIS V injection mortar — chemical anchor, all substrates</t>
  </si>
  <si>
    <t xml:space="preserve">Fischer FIS V | FIS V injection mortar — chemical anchor, all substrates</t>
  </si>
  <si>
    <t xml:space="preserve">Fischer FH II</t>
  </si>
  <si>
    <t xml:space="preserve">FH II sleeve anchor — heavy-duty through-bolt</t>
  </si>
  <si>
    <t xml:space="preserve">Fischer FH II | FH II sleeve anchor — heavy-duty through-bolt</t>
  </si>
  <si>
    <t xml:space="preserve">Fischer FHB II</t>
  </si>
  <si>
    <t xml:space="preserve">FHB II highbond — bonded expansion, safety-critical</t>
  </si>
  <si>
    <t xml:space="preserve">Fischer FHB II | FHB II highbond — bonded expansion, safety-critical</t>
  </si>
  <si>
    <t xml:space="preserve">Fischer FZA Zykon</t>
  </si>
  <si>
    <t xml:space="preserve">FZA undercut anchor — highest cracked concrete reliability</t>
  </si>
  <si>
    <t xml:space="preserve">Fischer FZA Zykon | FZA undercut anchor — highest cracked concrete reliability</t>
  </si>
  <si>
    <t xml:space="preserve">Fischer Nylon &amp; Misc</t>
  </si>
  <si>
    <t xml:space="preserve">DuoPower, SX, frame fixings, nail anchors, EA II</t>
  </si>
  <si>
    <t xml:space="preserve">Fischer Nylon &amp; Misc | DuoPower, SX, frame fixings, nail anchors, EA II</t>
  </si>
  <si>
    <t xml:space="preserve">Platform Load Calc</t>
  </si>
  <si>
    <t xml:space="preserve">Dead/live/wind load + anchor verification</t>
  </si>
  <si>
    <t xml:space="preserve">Platform Load Calc | Dead/live/wind load + anchor verification</t>
  </si>
  <si>
    <t xml:space="preserve">Unit Conversions</t>
  </si>
  <si>
    <t xml:space="preserve">mm↔in, kg↔lb, MPa↔ksi, kN↔lbf</t>
  </si>
  <si>
    <t xml:space="preserve">Unit Conversions | mm↔in, kg↔lb, MPa↔ksi, kN↔lbf</t>
  </si>
  <si>
    <t xml:space="preserve">Abbreviations &amp; definitions</t>
  </si>
  <si>
    <t xml:space="preserve">Glossary | Abbreviations &amp; definitions</t>
  </si>
  <si>
    <t xml:space="preserve">Generated: 11 Apr 2026</t>
  </si>
  <si>
    <t xml:space="preserve">EN 10025</t>
  </si>
  <si>
    <t xml:space="preserve">EN 10025 Structural Steel Grades — Comparison Tool</t>
  </si>
  <si>
    <t xml:space="preserve">Grades S235 · S275 · S355 · S420 · S460 · S500  |  Per EN 10025-2 / -3 / -4 / -6</t>
  </si>
  <si>
    <t xml:space="preserve">S235</t>
  </si>
  <si>
    <t xml:space="preserve">S275</t>
  </si>
  <si>
    <t xml:space="preserve">S355</t>
  </si>
  <si>
    <t xml:space="preserve">S235 | S275 | S355</t>
  </si>
  <si>
    <t xml:space="preserve">EN 10025-2</t>
  </si>
  <si>
    <t xml:space="preserve">EN 10025-2 | EN 10025-2 | EN 10025-2</t>
  </si>
  <si>
    <t xml:space="preserve">Yield (≤16mm)</t>
  </si>
  <si>
    <t xml:space="preserve">Yield (≤16mm) | Yield (≤16mm) | Yield (≤16mm)</t>
  </si>
  <si>
    <t xml:space="preserve">235 MPa</t>
  </si>
  <si>
    <t xml:space="preserve">355 MPa</t>
  </si>
  <si>
    <t xml:space="preserve">235 MPa | 275 MPa | 355 MPa</t>
  </si>
  <si>
    <t xml:space="preserve">Tensile (≤16mm)</t>
  </si>
  <si>
    <t xml:space="preserve">Tensile (≤16mm) | Tensile (≤16mm) | Tensile (≤16mm)</t>
  </si>
  <si>
    <t xml:space="preserve">360–510</t>
  </si>
  <si>
    <t xml:space="preserve">410–560</t>
  </si>
  <si>
    <t xml:space="preserve">470–630</t>
  </si>
  <si>
    <t xml:space="preserve">360–510 | 410–560 | 470–630</t>
  </si>
  <si>
    <t xml:space="preserve">Sub-grades</t>
  </si>
  <si>
    <t xml:space="preserve">Sub-grades | Sub-grades | Sub-grades</t>
  </si>
  <si>
    <t xml:space="preserve">JR · J0 · J2</t>
  </si>
  <si>
    <t xml:space="preserve">JR · J0 · J2 · K2</t>
  </si>
  <si>
    <t xml:space="preserve">JR · J0 · J2 | JR · J0 · J2 | JR · J0 · J2 · K2</t>
  </si>
  <si>
    <t xml:space="preserve">CEV max: 0.35</t>
  </si>
  <si>
    <t xml:space="preserve">CEV max: 0.4</t>
  </si>
  <si>
    <t xml:space="preserve">CEV max: 0.45</t>
  </si>
  <si>
    <t xml:space="preserve">CEV max: 0.35 | CEV max: 0.4 | CEV max: 0.45</t>
  </si>
  <si>
    <t xml:space="preserve">Typical Applications</t>
  </si>
  <si>
    <t xml:space="preserve">Typical Applications | Typical Applications | Typical Applications</t>
  </si>
  <si>
    <t xml:space="preserve">General construction, light frames, secondary structures, purlins</t>
  </si>
  <si>
    <t xml:space="preserve">Buildings, bridges, light structural frames, crane girders</t>
  </si>
  <si>
    <t xml:space="preserve">High-rise buildings, heavy bridges, offshore, wind turbines</t>
  </si>
  <si>
    <t xml:space="preserve">General construction, light frames, secondary structures, purlins | Buildings, bridges, light structural frames, crane girders | High-rise buildings, heavy bridges, offshore, wind turbines</t>
  </si>
  <si>
    <t xml:space="preserve">Navigate to:</t>
  </si>
  <si>
    <t xml:space="preserve">Navigate to: | Yield Strength | Tensile Strength</t>
  </si>
  <si>
    <t xml:space="preserve">Source: EN 10025-2:2019, EN 10025-3:2019, EN 10025-4:2019, EN 10025-6:2019  |  Generated: 09 Apr 2026</t>
  </si>
  <si>
    <t xml:space="preserve">Minimum Yield Strength (ReH) by Thickness — EN 10025</t>
  </si>
  <si>
    <t xml:space="preserve">Values in MPa. Yield strength decreases with increasing plate/section thickness.</t>
  </si>
  <si>
    <t xml:space="preserve">Thickness Band</t>
  </si>
  <si>
    <t xml:space="preserve">S420</t>
  </si>
  <si>
    <t xml:space="preserve">Thickness Band | S235 | S275 | S355 | S420</t>
  </si>
  <si>
    <t xml:space="preserve">≤16</t>
  </si>
  <si>
    <t xml:space="preserve">235</t>
  </si>
  <si>
    <t xml:space="preserve">275</t>
  </si>
  <si>
    <t xml:space="preserve">355</t>
  </si>
  <si>
    <t xml:space="preserve">420</t>
  </si>
  <si>
    <t xml:space="preserve">≤16 | 235 | 275 | 355 | 420</t>
  </si>
  <si>
    <t xml:space="preserve">&gt;16–40</t>
  </si>
  <si>
    <t xml:space="preserve">225</t>
  </si>
  <si>
    <t xml:space="preserve">265</t>
  </si>
  <si>
    <t xml:space="preserve">345</t>
  </si>
  <si>
    <t xml:space="preserve">400</t>
  </si>
  <si>
    <t xml:space="preserve">&gt;16–40 | 225 | 265 | 345 | 400</t>
  </si>
  <si>
    <t xml:space="preserve">&gt;40–63</t>
  </si>
  <si>
    <t xml:space="preserve">215</t>
  </si>
  <si>
    <t xml:space="preserve">255</t>
  </si>
  <si>
    <t xml:space="preserve">335</t>
  </si>
  <si>
    <t xml:space="preserve">390</t>
  </si>
  <si>
    <t xml:space="preserve">&gt;40–63 | 215 | 255 | 335 | 390</t>
  </si>
  <si>
    <t xml:space="preserve">&gt;63–80</t>
  </si>
  <si>
    <t xml:space="preserve">245</t>
  </si>
  <si>
    <t xml:space="preserve">325</t>
  </si>
  <si>
    <t xml:space="preserve">370</t>
  </si>
  <si>
    <t xml:space="preserve">&gt;63–80 | 215 | 245 | 325 | 370</t>
  </si>
  <si>
    <t xml:space="preserve">&gt;80–100</t>
  </si>
  <si>
    <t xml:space="preserve">315</t>
  </si>
  <si>
    <t xml:space="preserve">360</t>
  </si>
  <si>
    <t xml:space="preserve">&gt;80–100 | 215 | 235 | 315 | 360</t>
  </si>
  <si>
    <t xml:space="preserve">&gt;100–150</t>
  </si>
  <si>
    <t xml:space="preserve">195</t>
  </si>
  <si>
    <t xml:space="preserve">295</t>
  </si>
  <si>
    <t xml:space="preserve">340</t>
  </si>
  <si>
    <t xml:space="preserve">&gt;100–150 | 195 | 225 | 295 | 340</t>
  </si>
  <si>
    <t xml:space="preserve">&gt;150–200</t>
  </si>
  <si>
    <t xml:space="preserve">185</t>
  </si>
  <si>
    <t xml:space="preserve">285</t>
  </si>
  <si>
    <t xml:space="preserve">N/A</t>
  </si>
  <si>
    <t xml:space="preserve">&gt;150–200 | 185 | 215 | 285 | N/A</t>
  </si>
  <si>
    <t xml:space="preserve">&gt;200–250</t>
  </si>
  <si>
    <t xml:space="preserve">175</t>
  </si>
  <si>
    <t xml:space="preserve">205</t>
  </si>
  <si>
    <t xml:space="preserve">&gt;200–250 | 175 | 205 | 275 | N/A</t>
  </si>
  <si>
    <t xml:space="preserve">Note: S420 &amp; S460 values per EN 10025-3 (normalized, N/NL) and EN 10025-4 (thermomechanical, M/ML). S500 per EN 10025-4 and EN 10025-6 (Q+T). N/A = outside thickness range of standard.</t>
  </si>
  <si>
    <t xml:space="preserve">Source: EN 10025-2:2019 Table 7, EN 10025-3:2019 Table 7, EN 10025-4:2019 Table 7, EN 10025-6:2019 Table 7</t>
  </si>
  <si>
    <t xml:space="preserve">Tensile Strength (Rm) Range by Thickness — EN 10025</t>
  </si>
  <si>
    <t xml:space="preserve">Values in MPa (min–max range). Also shows minimum tensile for use in structural design calculations.</t>
  </si>
  <si>
    <t xml:space="preserve">Thickness Band | S235 | S275</t>
  </si>
  <si>
    <t xml:space="preserve">Rm Min (MPa)</t>
  </si>
  <si>
    <t xml:space="preserve">Rm Max (MPa)</t>
  </si>
  <si>
    <t xml:space="preserve">Thickness Band | Rm Min (MPa) | Rm Max (MPa) | Rm Min (MPa) | Rm Max (MPa)</t>
  </si>
  <si>
    <t xml:space="preserve">510</t>
  </si>
  <si>
    <t xml:space="preserve">410</t>
  </si>
  <si>
    <t xml:space="preserve">560</t>
  </si>
  <si>
    <t xml:space="preserve">≤16 | 360 | 510 | 410 | 560</t>
  </si>
  <si>
    <t xml:space="preserve">&gt;16–40 | 360 | 510 | 410 | 560</t>
  </si>
  <si>
    <t xml:space="preserve">540</t>
  </si>
  <si>
    <t xml:space="preserve">&gt;40–63 | 360 | 510 | 400 | 540</t>
  </si>
  <si>
    <t xml:space="preserve">&gt;63–80 | 360 | 510 | 400 | 540</t>
  </si>
  <si>
    <t xml:space="preserve">380</t>
  </si>
  <si>
    <t xml:space="preserve">&gt;80–100 | 360 | 510 | 380 | 540</t>
  </si>
  <si>
    <t xml:space="preserve">350</t>
  </si>
  <si>
    <t xml:space="preserve">500</t>
  </si>
  <si>
    <t xml:space="preserve">530</t>
  </si>
  <si>
    <t xml:space="preserve">&gt;100–150 | 350 | 500 | 380 | 530</t>
  </si>
  <si>
    <t xml:space="preserve">490</t>
  </si>
  <si>
    <t xml:space="preserve">&gt;150–200 | 340 | 490 | 370 | 530</t>
  </si>
  <si>
    <t xml:space="preserve">330</t>
  </si>
  <si>
    <t xml:space="preserve">480</t>
  </si>
  <si>
    <t xml:space="preserve">&gt;200–250 | 330 | 480 | 360 | 510</t>
  </si>
  <si>
    <t xml:space="preserve">Source: EN 10025-2:2019 Table 8, EN 10025-3:2019, EN 10025-4:2019, EN 10025-6:2019 | N/A = outside standard's thickness range</t>
  </si>
  <si>
    <t xml:space="preserve">Charpy V-Notch Impact Properties — Sub-Grade Comparison</t>
  </si>
  <si>
    <t xml:space="preserve">Longitudinal Charpy V-notch impact energy per EN 10025 sub-grade designations</t>
  </si>
  <si>
    <t xml:space="preserve">A. Sub-Grade Toughness Designations</t>
  </si>
  <si>
    <t xml:space="preserve">Sub-grade</t>
  </si>
  <si>
    <t xml:space="preserve">Test Temperature (°C)</t>
  </si>
  <si>
    <t xml:space="preserve">Min Impact Energy (J)</t>
  </si>
  <si>
    <t xml:space="preserve">Interpretation</t>
  </si>
  <si>
    <t xml:space="preserve">Applies to Grades</t>
  </si>
  <si>
    <t xml:space="preserve">Sub-grade | Test Temperature (°C) | Min Impact Energy (J) | Interpretation | Applies to Grades</t>
  </si>
  <si>
    <t xml:space="preserve">JR</t>
  </si>
  <si>
    <t xml:space="preserve">+20</t>
  </si>
  <si>
    <t xml:space="preserve">27</t>
  </si>
  <si>
    <t xml:space="preserve">Room temperature toughness — warm climates, general use</t>
  </si>
  <si>
    <t xml:space="preserve">S235, S275, S355</t>
  </si>
  <si>
    <t xml:space="preserve">JR | +20 | 27 | Room temperature toughness — warm climates, general use | S235, S275, S355</t>
  </si>
  <si>
    <t xml:space="preserve">J0</t>
  </si>
  <si>
    <t xml:space="preserve">0</t>
  </si>
  <si>
    <t xml:space="preserve">Moderate cold toughness — cool temperate climates</t>
  </si>
  <si>
    <t xml:space="preserve">S235, S275, S355, S420, S460</t>
  </si>
  <si>
    <t xml:space="preserve">J0 | 0 | 27 | Moderate cold toughness — cool temperate climates | S235, S275, S355, S420, S460</t>
  </si>
  <si>
    <t xml:space="preserve">J2</t>
  </si>
  <si>
    <t xml:space="preserve">−20</t>
  </si>
  <si>
    <t xml:space="preserve">Cold weather toughness — Northern Europe, night-time minima</t>
  </si>
  <si>
    <t xml:space="preserve">J2 | −20 | 27 | Cold weather toughness — Northern Europe, night-time minima | S235, S275, S355, S420, S460</t>
  </si>
  <si>
    <t xml:space="preserve">K2</t>
  </si>
  <si>
    <t xml:space="preserve">40</t>
  </si>
  <si>
    <t xml:space="preserve">Enhanced cold toughness — seismic, cyclic loading, offshore</t>
  </si>
  <si>
    <t xml:space="preserve">S355, S460</t>
  </si>
  <si>
    <t xml:space="preserve">K2 | −20 | 40 | Enhanced cold toughness — seismic, cyclic loading, offshore | S355, S460</t>
  </si>
  <si>
    <t xml:space="preserve">M / N</t>
  </si>
  <si>
    <t xml:space="preserve">Thermomechanical / Normalised — fine-grain weldable structural steel</t>
  </si>
  <si>
    <t xml:space="preserve">S420, S460, S500</t>
  </si>
  <si>
    <t xml:space="preserve">M / N | −20 | 27 | Thermomechanical / Normalised — fine-grain weldable structural steel | S420, S460, S500</t>
  </si>
  <si>
    <t xml:space="preserve">ML/NL</t>
  </si>
  <si>
    <t xml:space="preserve">−50</t>
  </si>
  <si>
    <t xml:space="preserve">Low-temperature variant — arctic, LNG tanks, cryogenic service</t>
  </si>
  <si>
    <t xml:space="preserve">ML/NL | −50 | 27 | Low-temperature variant — arctic, LNG tanks, cryogenic service | S420, S460, S500</t>
  </si>
  <si>
    <t xml:space="preserve">Q</t>
  </si>
  <si>
    <t xml:space="preserve">Quenched &amp; Tempered — high-strength, uniform properties</t>
  </si>
  <si>
    <t xml:space="preserve">S460, S500</t>
  </si>
  <si>
    <t xml:space="preserve">Q | −20 | 27 | Quenched &amp; Tempered — high-strength, uniform properties | S460, S500</t>
  </si>
  <si>
    <t xml:space="preserve">QL</t>
  </si>
  <si>
    <t xml:space="preserve">−40</t>
  </si>
  <si>
    <t xml:space="preserve">Q+T low-temperature — offshore, cold climate equipment</t>
  </si>
  <si>
    <t xml:space="preserve">QL | −40 | 27 | Q+T low-temperature — offshore, cold climate equipment | S460, S500</t>
  </si>
  <si>
    <t xml:space="preserve">QL1</t>
  </si>
  <si>
    <t xml:space="preserve">−60</t>
  </si>
  <si>
    <t xml:space="preserve">Q+T extreme low-temperature — LNG, arctic offshore structures</t>
  </si>
  <si>
    <t xml:space="preserve">QL1 | −60 | 27 | Q+T extreme low-temperature — LNG, arctic offshore structures | S460, S500</t>
  </si>
  <si>
    <t xml:space="preserve">B. Sub-Grade Availability Matrix by Steel Grade</t>
  </si>
  <si>
    <t xml:space="preserve">Temp (°C)</t>
  </si>
  <si>
    <t xml:space="preserve">Energy (J)</t>
  </si>
  <si>
    <t xml:space="preserve">Sub-grade | Temp (°C) | Energy (J) | S235 | S275</t>
  </si>
  <si>
    <t xml:space="preserve">✓</t>
  </si>
  <si>
    <t xml:space="preserve">JR | +20 | 27 | ✓ | ✓</t>
  </si>
  <si>
    <t xml:space="preserve">J0 | 0 | 27 | ✓ | ✓</t>
  </si>
  <si>
    <t xml:space="preserve">J2 | −20 | 27 | ✓ | ✓</t>
  </si>
  <si>
    <t xml:space="preserve">—</t>
  </si>
  <si>
    <t xml:space="preserve">K2 | −20 | 40 | — | —</t>
  </si>
  <si>
    <t xml:space="preserve">M/N</t>
  </si>
  <si>
    <t xml:space="preserve">M/N | −20 | 27 | — | —</t>
  </si>
  <si>
    <t xml:space="preserve">ML/NL | −50 | 27 | — | —</t>
  </si>
  <si>
    <t xml:space="preserve">Q | −20 | 27 | — | —</t>
  </si>
  <si>
    <t xml:space="preserve">QL | −40 | 27 | — | —</t>
  </si>
  <si>
    <t xml:space="preserve">QL1 | −60 | 27 | — | —</t>
  </si>
  <si>
    <t xml:space="preserve">Source: EN 10025-2:2019 §7, EN 10025-3:2019 §7, EN 10025-4:2019 §7, EN 10025-6:2019 §7 | Charpy V-notch longitudinal test specimens</t>
  </si>
  <si>
    <t xml:space="preserve">Side-by-Side Grade Comparison Tool</t>
  </si>
  <si>
    <t xml:space="preserve">Comprehensive mechanical properties at 16mm, 40mm, 63mm and 100mm nominal thickness</t>
  </si>
  <si>
    <t xml:space="preserve">Property | S235 | S275 | S355 | S420</t>
  </si>
  <si>
    <t xml:space="preserve">IDENTIFICATION</t>
  </si>
  <si>
    <t xml:space="preserve">Standard</t>
  </si>
  <si>
    <t xml:space="preserve">EN 10025-2 / -3 / -4</t>
  </si>
  <si>
    <t xml:space="preserve">Standard | EN 10025-2 | EN 10025-2 | EN 10025-2 | EN 10025-2 / -3 / -4</t>
  </si>
  <si>
    <t xml:space="preserve">Yield strength designation (MPa at ≤16mm)</t>
  </si>
  <si>
    <t xml:space="preserve">Yield strength designation (MPa at ≤16mm) | 235 | 275 | 355 | 420</t>
  </si>
  <si>
    <t xml:space="preserve">Carbon Equivalent (CEV max)</t>
  </si>
  <si>
    <t xml:space="preserve">0.35</t>
  </si>
  <si>
    <t xml:space="preserve">0.4</t>
  </si>
  <si>
    <t xml:space="preserve">0.45</t>
  </si>
  <si>
    <t xml:space="preserve">0.47</t>
  </si>
  <si>
    <t xml:space="preserve">Carbon Equivalent (CEV max) | 0.35 | 0.4 | 0.45 | 0.47</t>
  </si>
  <si>
    <t xml:space="preserve">YIELD STRENGTH ReH (MPa) — Minimum</t>
  </si>
  <si>
    <t xml:space="preserve">t ≤ 16 mm</t>
  </si>
  <si>
    <t xml:space="preserve">t ≤ 16 mm | 235 | 275 | 355 | 420</t>
  </si>
  <si>
    <t xml:space="preserve">t &gt; 16–40 mm</t>
  </si>
  <si>
    <t xml:space="preserve">t &gt; 16–40 mm | 225 | 265 | 345 | 400</t>
  </si>
  <si>
    <t xml:space="preserve">t &gt; 40–63 mm</t>
  </si>
  <si>
    <t xml:space="preserve">t &gt; 40–63 mm | 215 | 255 | 335 | 390</t>
  </si>
  <si>
    <t xml:space="preserve">t &gt; 63–80 mm</t>
  </si>
  <si>
    <t xml:space="preserve">t &gt; 63–80 mm | 215 | 245 | 325 | 370</t>
  </si>
  <si>
    <t xml:space="preserve">t &gt; 80–100 mm</t>
  </si>
  <si>
    <t xml:space="preserve">t &gt; 80–100 mm | 215 | 235 | 315 | 360</t>
  </si>
  <si>
    <t xml:space="preserve">t &gt; 100–150 mm</t>
  </si>
  <si>
    <t xml:space="preserve">t &gt; 100–150 mm | 195 | 225 | 295 | 340</t>
  </si>
  <si>
    <t xml:space="preserve">TENSILE STRENGTH Rm (MPa) — Range</t>
  </si>
  <si>
    <t xml:space="preserve">520–680</t>
  </si>
  <si>
    <t xml:space="preserve">t ≤ 16 mm | 360–510 | 410–560 | 470–630 | 520–680</t>
  </si>
  <si>
    <t xml:space="preserve">t &gt; 16–40 mm | 360–510 | 410–560 | 470–630 | 520–680</t>
  </si>
  <si>
    <t xml:space="preserve">400–540</t>
  </si>
  <si>
    <t xml:space="preserve">500–660</t>
  </si>
  <si>
    <t xml:space="preserve">t &gt; 40–63 mm | 360–510 | 400–540 | 470–630 | 500–660</t>
  </si>
  <si>
    <t xml:space="preserve">380–540</t>
  </si>
  <si>
    <t xml:space="preserve">450–610</t>
  </si>
  <si>
    <t xml:space="preserve">480–640</t>
  </si>
  <si>
    <t xml:space="preserve">t &gt; 80–100 mm | 360–510 | 380–540 | 450–610 | 480–640</t>
  </si>
  <si>
    <t xml:space="preserve">350–500</t>
  </si>
  <si>
    <t xml:space="preserve">380–530</t>
  </si>
  <si>
    <t xml:space="preserve">450–600</t>
  </si>
  <si>
    <t xml:space="preserve">t &gt; 100–150 mm | 350–500 | 380–530 | 450–600 | 470–630</t>
  </si>
  <si>
    <t xml:space="preserve">ELONGATION (min %) — A (L0 = 5.65√S0)</t>
  </si>
  <si>
    <t xml:space="preserve">26</t>
  </si>
  <si>
    <t xml:space="preserve">23</t>
  </si>
  <si>
    <t xml:space="preserve">22</t>
  </si>
  <si>
    <t xml:space="preserve">19</t>
  </si>
  <si>
    <t xml:space="preserve">t ≤ 16 mm | 26 | 23 | 22 | 19</t>
  </si>
  <si>
    <t xml:space="preserve">t &gt; 16–40 mm | 26 | 23 | 22 | 19</t>
  </si>
  <si>
    <t xml:space="preserve">24</t>
  </si>
  <si>
    <t xml:space="preserve">21</t>
  </si>
  <si>
    <t xml:space="preserve">18</t>
  </si>
  <si>
    <t xml:space="preserve">t &gt; 40–63 mm | 24 | 22 | 21 | 18</t>
  </si>
  <si>
    <t xml:space="preserve">20</t>
  </si>
  <si>
    <t xml:space="preserve">17</t>
  </si>
  <si>
    <t xml:space="preserve">t &gt; 80–100 mm | 22 | 21 | 20 | 17</t>
  </si>
  <si>
    <t xml:space="preserve">IMPACT TOUGHNESS (Charpy V-notch, longitudinal)</t>
  </si>
  <si>
    <t xml:space="preserve">Available sub-grades</t>
  </si>
  <si>
    <t xml:space="preserve">JR / J0 / J2</t>
  </si>
  <si>
    <t xml:space="preserve">JR / J0 / J2 / K2</t>
  </si>
  <si>
    <t xml:space="preserve">J0 / J2 / M/N / ML/NL</t>
  </si>
  <si>
    <t xml:space="preserve">Available sub-grades | JR / J0 / J2 | JR / J0 / J2 | JR / J0 / J2 / K2 | J0 / J2 / M/N / ML/NL</t>
  </si>
  <si>
    <t xml:space="preserve">Lowest test temperature available</t>
  </si>
  <si>
    <t xml:space="preserve">-20°C (J2/K2)</t>
  </si>
  <si>
    <t xml:space="preserve">-20°C (J2)</t>
  </si>
  <si>
    <t xml:space="preserve">-50°C (NL/ML)</t>
  </si>
  <si>
    <t xml:space="preserve">Lowest test temperature available | -20°C (J2/K2) | -20°C (J2) | -20°C (J2/K2) | -50°C (NL/ML)</t>
  </si>
  <si>
    <t xml:space="preserve">Min. energy (standard sub-grade)</t>
  </si>
  <si>
    <t xml:space="preserve">27 J at −20°C</t>
  </si>
  <si>
    <t xml:space="preserve">Min. energy (standard sub-grade) | 27 J at −20°C | 27 J at −20°C | 27 J at −20°C | 27 J at −20°C</t>
  </si>
  <si>
    <t xml:space="preserve">WELDABILITY</t>
  </si>
  <si>
    <t xml:space="preserve">CEV max (weldability index)</t>
  </si>
  <si>
    <t xml:space="preserve">CEV max (weldability index) | 0.35 | 0.4 | 0.45 | 0.47</t>
  </si>
  <si>
    <t xml:space="preserve">Preheating required</t>
  </si>
  <si>
    <t xml:space="preserve">No (t≤25mm)</t>
  </si>
  <si>
    <t xml:space="preserve">Possibly (t&gt;25mm)</t>
  </si>
  <si>
    <t xml:space="preserve">Yes (t&gt;20mm)</t>
  </si>
  <si>
    <t xml:space="preserve">Preheating required | No (t≤25mm) | No (t≤25mm) | Possibly (t&gt;25mm) | Yes (t&gt;20mm)</t>
  </si>
  <si>
    <t xml:space="preserve">Weldability assessment</t>
  </si>
  <si>
    <t xml:space="preserve">Excellent</t>
  </si>
  <si>
    <t xml:space="preserve">Good</t>
  </si>
  <si>
    <t xml:space="preserve">Weldability assessment | Excellent | Excellent | Good | Good</t>
  </si>
  <si>
    <t xml:space="preserve">TYPICAL DENSITY &amp; ELASTIC MODULUS</t>
  </si>
  <si>
    <t xml:space="preserve">Density (kg/m³)</t>
  </si>
  <si>
    <t xml:space="preserve">7850</t>
  </si>
  <si>
    <t xml:space="preserve">Density (kg/m³) | 7850 | 7850 | 7850 | 7850</t>
  </si>
  <si>
    <t xml:space="preserve">Young's Modulus (GPa)</t>
  </si>
  <si>
    <t xml:space="preserve">210</t>
  </si>
  <si>
    <t xml:space="preserve">Young's Modulus (GPa) | 210 | 210 | 210 | 210</t>
  </si>
  <si>
    <t xml:space="preserve">Poisson's Ratio</t>
  </si>
  <si>
    <t xml:space="preserve">0.3</t>
  </si>
  <si>
    <t xml:space="preserve">Poisson's Ratio | 0.3 | 0.3 | 0.3 | 0.3</t>
  </si>
  <si>
    <t xml:space="preserve">Thermal Exp. Coeff. (×10⁻⁶/°C)</t>
  </si>
  <si>
    <t xml:space="preserve">12</t>
  </si>
  <si>
    <t xml:space="preserve">Thermal Exp. Coeff. (×10⁻⁶/°C) | 12 | 12 | 12 | 12</t>
  </si>
  <si>
    <t xml:space="preserve">Source: EN 10025-2:2019, EN 10025-3:2019, EN 10025-4:2019, EN 10025-6:2019 | All mechanical properties are minimum specified values unless ranges stated</t>
  </si>
  <si>
    <t xml:space="preserve">Weldability &amp; Carbon Equivalent (CEV) — EN 10025 Grades</t>
  </si>
  <si>
    <t xml:space="preserve">CEV = C + Mn/6 + (Cr+Mo+V)/5 + (Ni+Cu)/15 per EN 10025 / IIW formula</t>
  </si>
  <si>
    <t xml:space="preserve">Grade</t>
  </si>
  <si>
    <t xml:space="preserve">CEV max</t>
  </si>
  <si>
    <t xml:space="preserve">Preheat (t≤25mm)</t>
  </si>
  <si>
    <t xml:space="preserve">Preheat (t&gt;25mm)</t>
  </si>
  <si>
    <t xml:space="preserve">Grade | CEV max | Weldability | Preheat (t≤25mm) | Preheat (t&gt;25mm)</t>
  </si>
  <si>
    <t xml:space="preserve">None required</t>
  </si>
  <si>
    <t xml:space="preserve">None/slight</t>
  </si>
  <si>
    <t xml:space="preserve">S235 | 0.35 | Excellent | None required | None/slight</t>
  </si>
  <si>
    <t xml:space="preserve">100°C (t&gt;30mm)</t>
  </si>
  <si>
    <t xml:space="preserve">S275 | 0.4 | Excellent | None required | 100°C (t&gt;30mm)</t>
  </si>
  <si>
    <t xml:space="preserve">None (t&lt;25mm)</t>
  </si>
  <si>
    <t xml:space="preserve">100–150°C</t>
  </si>
  <si>
    <t xml:space="preserve">S355 | 0.45 | Good | None (t&lt;25mm) | 100–150°C</t>
  </si>
  <si>
    <t xml:space="preserve">100°C</t>
  </si>
  <si>
    <t xml:space="preserve">150°C</t>
  </si>
  <si>
    <t xml:space="preserve">S420 | 0.47 | Good | 100°C | 150°C</t>
  </si>
  <si>
    <t xml:space="preserve">S460</t>
  </si>
  <si>
    <t xml:space="preserve">0.53</t>
  </si>
  <si>
    <t xml:space="preserve">Moderate</t>
  </si>
  <si>
    <t xml:space="preserve">150–200°C</t>
  </si>
  <si>
    <t xml:space="preserve">S460 | 0.53 | Moderate | 100–150°C | 150–200°C</t>
  </si>
  <si>
    <t xml:space="preserve">S500</t>
  </si>
  <si>
    <t xml:space="preserve">0.56</t>
  </si>
  <si>
    <t xml:space="preserve">200°C</t>
  </si>
  <si>
    <t xml:space="preserve">S500 | 0.56 | Moderate | 150°C | 200°C</t>
  </si>
  <si>
    <t xml:space="preserve">Source: EN 10025-2:2019 CEV limits Table 6; EN 10025-3:2019 Table 5; EN 10025-4:2019 Table 5; EN 10025-6:2019 Table 5 | IIW CEV formula</t>
  </si>
  <si>
    <t xml:space="preserve">Stainless Steel Weldability — Austenitic &amp; Ferritic Grades</t>
  </si>
  <si>
    <t xml:space="preserve">Type</t>
  </si>
  <si>
    <t xml:space="preserve">Filler
Metal</t>
  </si>
  <si>
    <t xml:space="preserve">Preheat</t>
  </si>
  <si>
    <t xml:space="preserve">Interpass
Max (°C)</t>
  </si>
  <si>
    <t xml:space="preserve">Grade | Type | Filler
Metal | Preheat | Interpass
Max (°C)</t>
  </si>
  <si>
    <t xml:space="preserve">SS304 (1.4301)</t>
  </si>
  <si>
    <t xml:space="preserve">Austenitic</t>
  </si>
  <si>
    <t xml:space="preserve">308L / 308LSi</t>
  </si>
  <si>
    <t xml:space="preserve">SS304 (1.4301) | Austenitic | 308L / 308LSi | None required | 150°C</t>
  </si>
  <si>
    <t xml:space="preserve">SS316L (1.4404)</t>
  </si>
  <si>
    <t xml:space="preserve">316L / 316LSi</t>
  </si>
  <si>
    <t xml:space="preserve">SS316L (1.4404) | Austenitic | 316L / 316LSi | None required | 150°C</t>
  </si>
  <si>
    <t xml:space="preserve">SS439 (1.4510)</t>
  </si>
  <si>
    <t xml:space="preserve">Ferritic</t>
  </si>
  <si>
    <t xml:space="preserve">309L / 309MoL</t>
  </si>
  <si>
    <t xml:space="preserve">50–100°C</t>
  </si>
  <si>
    <t xml:space="preserve">SS439 (1.4510) | Ferritic | 309L / 309MoL | 50–100°C | 150°C</t>
  </si>
  <si>
    <t xml:space="preserve">SS201 (1.4372)</t>
  </si>
  <si>
    <t xml:space="preserve">Austenitic (Mn-N)</t>
  </si>
  <si>
    <t xml:space="preserve">308L / 309L</t>
  </si>
  <si>
    <t xml:space="preserve">SS201 (1.4372) | Austenitic (Mn-N) | 308L / 309L | None required | 150°C</t>
  </si>
  <si>
    <t xml:space="preserve">Source: EN 10088-1, AWS D1.6 Structural Welding — Stainless Steel, TWI weld guidance notes</t>
  </si>
  <si>
    <t xml:space="preserve">Cross-Material</t>
  </si>
  <si>
    <t xml:space="preserve">Cross-Material Structural Strength Comparison</t>
  </si>
  <si>
    <t xml:space="preserve">Carbon Steel (EN 10025) · Stainless Steel (EN 10088) · Aluminium Alloys (EN 573-3 / EN 755)  —  Eurocode framework</t>
  </si>
  <si>
    <t xml:space="preserve">Material Family</t>
  </si>
  <si>
    <t xml:space="preserve">Grade / Alloy</t>
  </si>
  <si>
    <t xml:space="preserve">Common Designation</t>
  </si>
  <si>
    <t xml:space="preserve">Yield / Proof
Strength (MPa)</t>
  </si>
  <si>
    <t xml:space="preserve">Tensile Rm
Min (MPa)</t>
  </si>
  <si>
    <t xml:space="preserve">Material Family | Grade / Alloy | Common Designation | Yield / Proof
Strength (MPa) | Tensile Rm
Min (MPa)</t>
  </si>
  <si>
    <t xml:space="preserve">Carbon Steel</t>
  </si>
  <si>
    <t xml:space="preserve">S235JR/J0/J2</t>
  </si>
  <si>
    <t xml:space="preserve">Carbon Steel | S235 | S235JR/J0/J2 | 235 | 360</t>
  </si>
  <si>
    <t xml:space="preserve">S275JR/J0/J2</t>
  </si>
  <si>
    <t xml:space="preserve">Carbon Steel | S275 | S275JR/J0/J2 | 275 | 410</t>
  </si>
  <si>
    <t xml:space="preserve">S355JR/J0/J2/K2</t>
  </si>
  <si>
    <t xml:space="preserve">470</t>
  </si>
  <si>
    <t xml:space="preserve">Carbon Steel | S355 | S355JR/J0/J2/K2 | 355 | 470</t>
  </si>
  <si>
    <t xml:space="preserve">S420N/M/NL/ML</t>
  </si>
  <si>
    <t xml:space="preserve">520</t>
  </si>
  <si>
    <t xml:space="preserve">Carbon Steel | S420 | S420N/M/NL/ML | 420 | 520</t>
  </si>
  <si>
    <t xml:space="preserve">S460N/M/Q/QL</t>
  </si>
  <si>
    <t xml:space="preserve">460</t>
  </si>
  <si>
    <t xml:space="preserve">Carbon Steel | S460 | S460N/M/Q/QL | 460 | 540</t>
  </si>
  <si>
    <t xml:space="preserve">S500Q/QL/QL1</t>
  </si>
  <si>
    <t xml:space="preserve">590</t>
  </si>
  <si>
    <t xml:space="preserve">Carbon Steel | S500 | S500Q/QL/QL1 | 500 | 590</t>
  </si>
  <si>
    <t xml:space="preserve">Stainless Steel</t>
  </si>
  <si>
    <t xml:space="preserve">1.4301 / X5CrNi18-10</t>
  </si>
  <si>
    <t xml:space="preserve">Stainless Steel | SS304 | 1.4301 / X5CrNi18-10 | 210 | 520</t>
  </si>
  <si>
    <t xml:space="preserve">SS304L</t>
  </si>
  <si>
    <t xml:space="preserve">1.4307 / X2CrNi18-9</t>
  </si>
  <si>
    <t xml:space="preserve">200</t>
  </si>
  <si>
    <t xml:space="preserve">Stainless Steel | SS304L | 1.4307 / X2CrNi18-9 | 200 | 500</t>
  </si>
  <si>
    <t xml:space="preserve">SS316</t>
  </si>
  <si>
    <t xml:space="preserve">1.4401 / X5CrNiMo17-12-2</t>
  </si>
  <si>
    <t xml:space="preserve">220</t>
  </si>
  <si>
    <t xml:space="preserve">Stainless Steel | SS316 | 1.4401 / X5CrNiMo17-12-2 | 220 | 520</t>
  </si>
  <si>
    <t xml:space="preserve">SS316L</t>
  </si>
  <si>
    <t xml:space="preserve">1.4404 / X2CrNiMo17-12-2</t>
  </si>
  <si>
    <t xml:space="preserve">Stainless Steel | SS316L | 1.4404 / X2CrNiMo17-12-2 | 200 | 500</t>
  </si>
  <si>
    <t xml:space="preserve">2205 Duplex</t>
  </si>
  <si>
    <t xml:space="preserve">1.4462 / X2CrNiMoN22-5-3</t>
  </si>
  <si>
    <t xml:space="preserve">450</t>
  </si>
  <si>
    <t xml:space="preserve">650</t>
  </si>
  <si>
    <t xml:space="preserve">Stainless Steel | 2205 Duplex | 1.4462 / X2CrNiMoN22-5-3 | 450 | 650</t>
  </si>
  <si>
    <t xml:space="preserve">Aluminium</t>
  </si>
  <si>
    <t xml:space="preserve">6082-T6</t>
  </si>
  <si>
    <t xml:space="preserve">EN AW-6082 T6 (plate ≤12.5mm)</t>
  </si>
  <si>
    <t xml:space="preserve">300</t>
  </si>
  <si>
    <t xml:space="preserve">Aluminium | 6082-T6 | EN AW-6082 T6 (plate ≤12.5mm) | 255 | 300</t>
  </si>
  <si>
    <t xml:space="preserve">EN AW-6082 T6 (plate &gt;12.5mm)</t>
  </si>
  <si>
    <t xml:space="preserve">240</t>
  </si>
  <si>
    <t xml:space="preserve">Aluminium | 6082-T6 | EN AW-6082 T6 (plate &gt;12.5mm) | 240 | 295</t>
  </si>
  <si>
    <t xml:space="preserve">6082-T4</t>
  </si>
  <si>
    <t xml:space="preserve">EN AW-6082 T4 (extrusion)</t>
  </si>
  <si>
    <t xml:space="preserve">110</t>
  </si>
  <si>
    <t xml:space="preserve">Aluminium | 6082-T4 | EN AW-6082 T4 (extrusion) | 110 | 205</t>
  </si>
  <si>
    <t xml:space="preserve">6061-T6</t>
  </si>
  <si>
    <t xml:space="preserve">EN AW-6061 T6</t>
  </si>
  <si>
    <t xml:space="preserve">276</t>
  </si>
  <si>
    <t xml:space="preserve">310</t>
  </si>
  <si>
    <t xml:space="preserve">Aluminium | 6061-T6 | EN AW-6061 T6 | 276 | 310</t>
  </si>
  <si>
    <t xml:space="preserve">6061-T4</t>
  </si>
  <si>
    <t xml:space="preserve">EN AW-6061 T4</t>
  </si>
  <si>
    <t xml:space="preserve">145</t>
  </si>
  <si>
    <t xml:space="preserve">Aluminium | 6061-T4 | EN AW-6061 T4 | 145 | 240</t>
  </si>
  <si>
    <t xml:space="preserve">5083-H111</t>
  </si>
  <si>
    <t xml:space="preserve">EN AW-5083 H111</t>
  </si>
  <si>
    <t xml:space="preserve">125</t>
  </si>
  <si>
    <t xml:space="preserve">270</t>
  </si>
  <si>
    <t xml:space="preserve">Aluminium | 5083-H111 | EN AW-5083 H111 | 125 | 270</t>
  </si>
  <si>
    <t xml:space="preserve">6063-T6</t>
  </si>
  <si>
    <t xml:space="preserve">EN AW-6063 T6 (extrusion)</t>
  </si>
  <si>
    <t xml:space="preserve">160</t>
  </si>
  <si>
    <t xml:space="preserve">190</t>
  </si>
  <si>
    <t xml:space="preserve">Aluminium | 6063-T6 | EN AW-6063 T6 (extrusion) | 160 | 190</t>
  </si>
  <si>
    <t xml:space="preserve">7020-T6</t>
  </si>
  <si>
    <t xml:space="preserve">EN AW-7020 T6</t>
  </si>
  <si>
    <t xml:space="preserve">290</t>
  </si>
  <si>
    <t xml:space="preserve">Aluminium | 7020-T6 | EN AW-7020 T6 | 290 | 350</t>
  </si>
  <si>
    <t xml:space="preserve">Sources: EN 10025-2:2019 (carbon steel), EN 10088-4:2009 (stainless), EN 485-2/755-2 (aluminium) | Design: EC3 EN1993-1-1/-1-4 (steel/SS), EC9 EN1999-1-1 (aluminium) | Values at ≤16mm / standard temper</t>
  </si>
  <si>
    <t xml:space="preserve">Strength-to-Weight Ratio &amp; Stiffness Comparison</t>
  </si>
  <si>
    <t xml:space="preserve">Specific strength (yield/density) and specific stiffness (E/density) for structural material selection</t>
  </si>
  <si>
    <t xml:space="preserve">Yield/Proof
(MPa)</t>
  </si>
  <si>
    <t xml:space="preserve">Density
(kg/m³)</t>
  </si>
  <si>
    <t xml:space="preserve">Young's Mod
(GPa)</t>
  </si>
  <si>
    <t xml:space="preserve">Grade / Alloy | Material Family | Yield/Proof
(MPa) | Density
(kg/m³) | Young's Mod
(GPa)</t>
  </si>
  <si>
    <t xml:space="preserve">S235 | Carbon Steel | 235 | 7850 | 210</t>
  </si>
  <si>
    <t xml:space="preserve">S275 | Carbon Steel | 275 | 7850 | 210</t>
  </si>
  <si>
    <t xml:space="preserve">S355 | Carbon Steel | 355 | 7850 | 210</t>
  </si>
  <si>
    <t xml:space="preserve">S460 | Carbon Steel | 460 | 7850 | 210</t>
  </si>
  <si>
    <t xml:space="preserve">S500 | Carbon Steel | 500 | 7850 | 210</t>
  </si>
  <si>
    <t xml:space="preserve">7900</t>
  </si>
  <si>
    <t xml:space="preserve">SS304 | Stainless Steel | 210 | 7900 | 200</t>
  </si>
  <si>
    <t xml:space="preserve">7980</t>
  </si>
  <si>
    <t xml:space="preserve">SS316 | Stainless Steel | 220 | 7980 | 200</t>
  </si>
  <si>
    <t xml:space="preserve">7800</t>
  </si>
  <si>
    <t xml:space="preserve">2205 Duplex | Stainless Steel | 450 | 7800 | 200</t>
  </si>
  <si>
    <t xml:space="preserve">2700</t>
  </si>
  <si>
    <t xml:space="preserve">70</t>
  </si>
  <si>
    <t xml:space="preserve">6082-T6 | Aluminium | 255 | 2700 | 70</t>
  </si>
  <si>
    <t xml:space="preserve">69</t>
  </si>
  <si>
    <t xml:space="preserve">6061-T6 | Aluminium | 276 | 2700 | 69</t>
  </si>
  <si>
    <t xml:space="preserve">2660</t>
  </si>
  <si>
    <t xml:space="preserve">5083-H111 | Aluminium | 125 | 2660 | 70</t>
  </si>
  <si>
    <t xml:space="preserve">2780</t>
  </si>
  <si>
    <t xml:space="preserve">71</t>
  </si>
  <si>
    <t xml:space="preserve">7020-T6 | Aluminium | 290 | 2780 | 71</t>
  </si>
  <si>
    <t xml:space="preserve">Notes: Specific Strength = (Yield or Proof Strength) ÷ Density × 1000 (units: MPa·m³/kg ×10⁻³). Specific Stiffness = Young's Modulus ÷ Density × 1000. Relative values normalised to S275 (= 1.00). HAZ (Heat Affected Zone) reduces aluminium proof strength by ~50–60% locally at welds — EC9 EN1999-1-1 requires HAZ reduction factors (ρhaz) in design. Stainless steel values are 0.2% Rp0.2 proof strength — no defined yield point.</t>
  </si>
  <si>
    <t xml:space="preserve">Sources: EN 10025:2019 (carbon steel), EN 10088-4:2009 &amp; Atlas Steels datasheets (stainless), EN 485-2/EN 755-2 &amp; Aalco/Bikar datasheets (aluminium) | E = 210 GPa (steel), 200 GPa (SS), 69–71 GPa (Al)</t>
  </si>
  <si>
    <t xml:space="preserve">Design Standards Cross-Reference — Steel, Stainless &amp; Aluminium</t>
  </si>
  <si>
    <t xml:space="preserve">How the three material families fit within the Eurocode framework, and their key design differences</t>
  </si>
  <si>
    <t xml:space="preserve">A. Governing Standards — Eurocode Framework</t>
  </si>
  <si>
    <t xml:space="preserve">Topic</t>
  </si>
  <si>
    <t xml:space="preserve">Carbon Steel
(EN 10025)</t>
  </si>
  <si>
    <t xml:space="preserve">Stainless Steel
(EN 10088)</t>
  </si>
  <si>
    <t xml:space="preserve">Aluminium Alloys
(EN 573-3 / EN 755)</t>
  </si>
  <si>
    <t xml:space="preserve">Topic | Carbon Steel
(EN 10025) | Stainless Steel
(EN 10088) | Aluminium Alloys
(EN 573-3 / EN 755)</t>
  </si>
  <si>
    <t xml:space="preserve">Structural design code</t>
  </si>
  <si>
    <t xml:space="preserve">EC3: EN 1993-1-1</t>
  </si>
  <si>
    <t xml:space="preserve">EC3: EN 1993-1-4
(supplementary to -1-1)</t>
  </si>
  <si>
    <t xml:space="preserve">EC9: EN 1999-1-1</t>
  </si>
  <si>
    <t xml:space="preserve">Structural design code | EC3: EN 1993-1-1 | EC3: EN 1993-1-4
(supplementary to -1-1) | EC9: EN 1999-1-1</t>
  </si>
  <si>
    <t xml:space="preserve">Material specification</t>
  </si>
  <si>
    <t xml:space="preserve">EN 10025-2/-3/-4/-6</t>
  </si>
  <si>
    <t xml:space="preserve">EN 10088-1 to -5
(EN 10088-4 for sheets)</t>
  </si>
  <si>
    <t xml:space="preserve">EN 573-3 (composition)
EN 485-2, EN 755-2 (props)</t>
  </si>
  <si>
    <t xml:space="preserve">Material specification | EN 10025-2/-3/-4/-6 | EN 10088-1 to -5
(EN 10088-4 for sheets) | EN 573-3 (composition)
EN 485-2, EN 755-2 (props)</t>
  </si>
  <si>
    <t xml:space="preserve">Strength parameter used</t>
  </si>
  <si>
    <t xml:space="preserve">Yield strength ReH (sharp yield pt)</t>
  </si>
  <si>
    <t xml:space="preserve">0.2% Proof strength Rp0.2
(non-linear σ-ε)</t>
  </si>
  <si>
    <t xml:space="preserve">0.2% Proof strength Rp0.2
(fo in EC9)</t>
  </si>
  <si>
    <t xml:space="preserve">Strength parameter used | Yield strength ReH (sharp yield pt) | 0.2% Proof strength Rp0.2
(non-linear σ-ε) | 0.2% Proof strength Rp0.2
(fo in EC9)</t>
  </si>
  <si>
    <t xml:space="preserve">Partial safety factor γM0</t>
  </si>
  <si>
    <t xml:space="preserve">1.00</t>
  </si>
  <si>
    <t xml:space="preserve">1.10</t>
  </si>
  <si>
    <t xml:space="preserve">Partial safety factor γM0 | 1.00 | 1.10 | 1.10</t>
  </si>
  <si>
    <t xml:space="preserve">Partial safety factor γM1</t>
  </si>
  <si>
    <t xml:space="preserve">Partial safety factor γM1 | 1.00 | 1.10 | 1.10</t>
  </si>
  <si>
    <t xml:space="preserve">Stress-strain behaviour</t>
  </si>
  <si>
    <t xml:space="preserve">Linear elastic + plastic plateau</t>
  </si>
  <si>
    <t xml:space="preserve">Non-linear (Ramberg-Osgood)
No yield plateau</t>
  </si>
  <si>
    <t xml:space="preserve">Non-linear
No yield plateau</t>
  </si>
  <si>
    <t xml:space="preserve">Stress-strain behaviour | Linear elastic + plastic plateau | Non-linear (Ramberg-Osgood)
No yield plateau | Non-linear
No yield plateau</t>
  </si>
  <si>
    <t xml:space="preserve">Young's modulus</t>
  </si>
  <si>
    <t xml:space="preserve">70 GPa (approx. 1/3 of steel)</t>
  </si>
  <si>
    <t xml:space="preserve">Young's modulus | 210 GPa | 200 GPa | 70 GPa (approx. 1/3 of steel)</t>
  </si>
  <si>
    <t xml:space="preserve">Buckling curves</t>
  </si>
  <si>
    <t xml:space="preserve">EC3 a–d curves</t>
  </si>
  <si>
    <t xml:space="preserve">Modified curves in EN1993-1-4
(lower λ0)</t>
  </si>
  <si>
    <t xml:space="preserve">EC9-specific buckling curves</t>
  </si>
  <si>
    <t xml:space="preserve">Buckling curves | EC3 a–d curves | Modified curves in EN1993-1-4
(lower λ0) | EC9-specific buckling curves</t>
  </si>
  <si>
    <t xml:space="preserve">Weld HAZ reduction</t>
  </si>
  <si>
    <t xml:space="preserve">Not required for carbon steel</t>
  </si>
  <si>
    <t xml:space="preserve">Not required for austenitic SS</t>
  </si>
  <si>
    <t xml:space="preserve">Required — ρhaz factor (EC9 §6.1.6)
~0.5–0.8 depending on alloy/temper</t>
  </si>
  <si>
    <t xml:space="preserve">Weld HAZ reduction | Not required for carbon steel | Not required for austenitic SS | Required — ρhaz factor (EC9 §6.1.6)
~0.5–0.8 depending on alloy/temper</t>
  </si>
  <si>
    <t xml:space="preserve">Fire design</t>
  </si>
  <si>
    <t xml:space="preserve">EN 1993-1-2</t>
  </si>
  <si>
    <t xml:space="preserve">EN 1993-1-2 (limited coverage)</t>
  </si>
  <si>
    <t xml:space="preserve">EN 1999-1-2</t>
  </si>
  <si>
    <t xml:space="preserve">Fire design | EN 1993-1-2 | EN 1993-1-2 (limited coverage) | EN 1999-1-2</t>
  </si>
  <si>
    <t xml:space="preserve">Fatigue</t>
  </si>
  <si>
    <t xml:space="preserve">EN 1993-1-9</t>
  </si>
  <si>
    <t xml:space="preserve">EN 1993-1-9 (with SS detail cats)</t>
  </si>
  <si>
    <t xml:space="preserve">EN 1999-1-3</t>
  </si>
  <si>
    <t xml:space="preserve">Fatigue | EN 1993-1-9 | EN 1993-1-9 (with SS detail cats) | EN 1999-1-3</t>
  </si>
  <si>
    <t xml:space="preserve">Cross-section classification</t>
  </si>
  <si>
    <t xml:space="preserve">Class 1–4 (same limits as EC3)</t>
  </si>
  <si>
    <t xml:space="preserve">Class 1–4 (tighter limits than EC3)</t>
  </si>
  <si>
    <t xml:space="preserve">Class 1–4 (different limits)</t>
  </si>
  <si>
    <t xml:space="preserve">Cross-section classification | Class 1–4 (same limits as EC3) | Class 1–4 (tighter limits than EC3) | Class 1–4 (different limits)</t>
  </si>
  <si>
    <t xml:space="preserve">Corrosion protection</t>
  </si>
  <si>
    <t xml:space="preserve">Required (paint, galvanise, etc.)</t>
  </si>
  <si>
    <t xml:space="preserve">Not required (inherent)</t>
  </si>
  <si>
    <t xml:space="preserve">Usually not required (anodise optional)</t>
  </si>
  <si>
    <t xml:space="preserve">Corrosion protection | Required (paint, galvanise, etc.) | Not required (inherent) | Usually not required (anodise optional)</t>
  </si>
  <si>
    <t xml:space="preserve">Relative material cost</t>
  </si>
  <si>
    <t xml:space="preserve">Low (baseline = 1×)</t>
  </si>
  <si>
    <t xml:space="preserve">High (~4–6× carbon steel by weight)</t>
  </si>
  <si>
    <t xml:space="preserve">Moderate (~2–3× carbon steel by weight)</t>
  </si>
  <si>
    <t xml:space="preserve">Relative material cost | Low (baseline = 1×) | High (~4–6× carbon steel by weight) | Moderate (~2–3× carbon steel by weight)</t>
  </si>
  <si>
    <t xml:space="preserve">Life-cycle cost advantage</t>
  </si>
  <si>
    <t xml:space="preserve">High maintenance cost</t>
  </si>
  <si>
    <t xml:space="preserve">Very low maintenance</t>
  </si>
  <si>
    <t xml:space="preserve">Low maintenance</t>
  </si>
  <si>
    <t xml:space="preserve">Life-cycle cost advantage | High maintenance cost | Very low maintenance | Low maintenance</t>
  </si>
  <si>
    <t xml:space="preserve">B. Critical Design Differences — Practical Impact on Structural Engineers</t>
  </si>
  <si>
    <t xml:space="preserve">Design Issue</t>
  </si>
  <si>
    <t xml:space="preserve">Design Issue | Carbon Steel | Stainless Steel | Aluminium</t>
  </si>
  <si>
    <t xml:space="preserve">Yield point / ductility</t>
  </si>
  <si>
    <t xml:space="preserve">Clear yield plateau — plastic design allowed for Class 1 &amp; 2 sections</t>
  </si>
  <si>
    <t xml:space="preserve">No yield point — elastic design only; Rp0.2 governs; high ductility (45% elong.)</t>
  </si>
  <si>
    <t xml:space="preserve">No yield point — elastic design only; Rp0.2 (fo) governs; moderate ductility</t>
  </si>
  <si>
    <t xml:space="preserve">Yield point / ductility | Clear yield plateau — plastic design allowed for Class 1 &amp; 2 sections | No yield point — elastic design only; Rp0.2 governs; high ductility (45% elong.) | No yield point — elastic design only; Rp0.2 (fo) governs; moderate ductility</t>
  </si>
  <si>
    <t xml:space="preserve">Member buckling</t>
  </si>
  <si>
    <t xml:space="preserve">Standard EC3 buckling curves; well-established</t>
  </si>
  <si>
    <t xml:space="preserve">Modified curves needed due to low proportional limit; residual stresses different</t>
  </si>
  <si>
    <t xml:space="preserve">Different imperfection factors; section classification limits differ from EC3</t>
  </si>
  <si>
    <t xml:space="preserve">Member buckling | Standard EC3 buckling curves; well-established | Modified curves needed due to low proportional limit; residual stresses different | Different imperfection factors; section classification limits differ from EC3</t>
  </si>
  <si>
    <t xml:space="preserve">Connection design</t>
  </si>
  <si>
    <t xml:space="preserve">Bolted/welded; standard EC3 rules apply</t>
  </si>
  <si>
    <t xml:space="preserve">Bolt grades: A2/A4 austenitic stainless required; friction not recommended</t>
  </si>
  <si>
    <t xml:space="preserve">Bolt holes require oversize tolerance; avoid bimetallic contact with carbon steel</t>
  </si>
  <si>
    <t xml:space="preserve">Connection design | Bolted/welded; standard EC3 rules apply | Bolt grades: A2/A4 austenitic stainless required; friction not recommended | Bolt holes require oversize tolerance; avoid bimetallic contact with carbon steel</t>
  </si>
  <si>
    <t xml:space="preserve">Thermal expansion</t>
  </si>
  <si>
    <t xml:space="preserve">12 ×10⁻⁶ /°C</t>
  </si>
  <si>
    <t xml:space="preserve">16–17.5 ×10⁻⁶ /°C (higher — important for restrained members)</t>
  </si>
  <si>
    <t xml:space="preserve">23–24 ×10⁻⁶ /°C (~2× steel — critical for bridges, façades, long members)</t>
  </si>
  <si>
    <t xml:space="preserve">Thermal expansion | 12 ×10⁻⁶ /°C | 16–17.5 ×10⁻⁶ /°C (higher — important for restrained members) | 23–24 ×10⁻⁶ /°C (~2× steel — critical for bridges, façades, long members)</t>
  </si>
  <si>
    <t xml:space="preserve">Fire resistance</t>
  </si>
  <si>
    <t xml:space="preserve">60–90 min achievable with intumescent coating; degrades at ~550°C</t>
  </si>
  <si>
    <t xml:space="preserve">Better retention of strength at elevated temp than carbon steel</t>
  </si>
  <si>
    <t xml:space="preserve">Softens at ~200°C; fire-resistance is the biggest weakness; insulation always required</t>
  </si>
  <si>
    <t xml:space="preserve">Fire resistance | 60–90 min achievable with intumescent coating; degrades at ~550°C | Better retention of strength at elevated temp than carbon steel | Softens at ~200°C; fire-resistance is the biggest weakness; insulation always required</t>
  </si>
  <si>
    <t xml:space="preserve">Section sizes (equivalent load)</t>
  </si>
  <si>
    <t xml:space="preserve">Baseline section size</t>
  </si>
  <si>
    <t xml:space="preserve">Section ~25% larger than carbon steel equivalent (lower design strength)</t>
  </si>
  <si>
    <t xml:space="preserve">Section ~2–3× larger than carbon steel (low E causes deflection to govern, not strength)</t>
  </si>
  <si>
    <t xml:space="preserve">Section sizes (equivalent load) | Baseline section size | Section ~25% larger than carbon steel equivalent (lower design strength) | Section ~2–3× larger than carbon steel (low E causes deflection to govern, not strength)</t>
  </si>
  <si>
    <t xml:space="preserve">Fatigue performance</t>
  </si>
  <si>
    <t xml:space="preserve">Well-documented detail categories; good</t>
  </si>
  <si>
    <t xml:space="preserve">Similar to carbon steel; higher baseline resistance in some environments</t>
  </si>
  <si>
    <t xml:space="preserve">Lower fatigue strength; frequency-dependent; EC9 detail categories are more conservative</t>
  </si>
  <si>
    <t xml:space="preserve">Fatigue performance | Well-documented detail categories; good | Similar to carbon steel; higher baseline resistance in some environments | Lower fatigue strength; frequency-dependent; EC9 detail categories are more conservative</t>
  </si>
  <si>
    <t xml:space="preserve">Generally good; preheat for thick sections</t>
  </si>
  <si>
    <t xml:space="preserve">Excellent (austenitic); use low-heat-input, avoid sensitisation in HAZ</t>
  </si>
  <si>
    <t xml:space="preserve">Requires matching filler (AlMg5 or AlSi5); HAZ strength loss is ~50% — critical in design</t>
  </si>
  <si>
    <t xml:space="preserve">Weldability | Generally good; preheat for thick sections | Excellent (austenitic); use low-heat-input, avoid sensitisation in HAZ | Requires matching filler (AlMg5 or AlSi5); HAZ strength loss is ~50% — critical in design</t>
  </si>
  <si>
    <t xml:space="preserve">C. Approximate Structural Equivalence (Yield Strength Basis)</t>
  </si>
  <si>
    <t xml:space="preserve">Nearest Stainless
(EN 10088)</t>
  </si>
  <si>
    <t xml:space="preserve">Nearest Aluminium
(EN 755 / ASTM)</t>
  </si>
  <si>
    <t xml:space="preserve">Notes</t>
  </si>
  <si>
    <t xml:space="preserve">Carbon Steel
(EN 10025) | Yield/Proof
(MPa) | Nearest Stainless
(EN 10088) | Nearest Aluminium
(EN 755 / ASTM) | Notes</t>
  </si>
  <si>
    <t xml:space="preserve">SS304 / SS316 (Rp0.2 ≈210–220)
→ lower — no direct match</t>
  </si>
  <si>
    <t xml:space="preserve">6063-T6 (Rp0.2 ≈160)
→ lower; 5083-H111 close in tensile</t>
  </si>
  <si>
    <t xml:space="preserve">Stainless &amp; Al both below S235 in proof strength</t>
  </si>
  <si>
    <t xml:space="preserve">S235 | 235 | SS304 / SS316 (Rp0.2 ≈210–220)
→ lower — no direct match | 6063-T6 (Rp0.2 ≈160)
→ lower; 5083-H111 close in tensile | Stainless &amp; Al both below S235 in proof strength</t>
  </si>
  <si>
    <t xml:space="preserve">2205 Duplex (Rp0.2 ≈450)
→ strongest common match above</t>
  </si>
  <si>
    <t xml:space="preserve">6082-T6 plate (Rp0.2 ≈255)
6061-T6 (Rp0.2 ≈276) ≈ closest</t>
  </si>
  <si>
    <t xml:space="preserve">6061-T6 is the closest aluminium equivalent to S275</t>
  </si>
  <si>
    <t xml:space="preserve">S275 | 275 | 2205 Duplex (Rp0.2 ≈450)
→ strongest common match above | 6082-T6 plate (Rp0.2 ≈255)
6061-T6 (Rp0.2 ≈276) ≈ closest | 6061-T6 is the closest aluminium equivalent to S275</t>
  </si>
  <si>
    <t xml:space="preserve">2205 Duplex (Rp0.2 ≈450)
→ no austenitic match</t>
  </si>
  <si>
    <t xml:space="preserve">7020-T6 (Rp0.2 ≈290)
→ lower; no direct Al match</t>
  </si>
  <si>
    <t xml:space="preserve">No common aluminium alloy in EC9 list reaches S355 yield</t>
  </si>
  <si>
    <t xml:space="preserve">S355 | 355 | 2205 Duplex (Rp0.2 ≈450)
→ no austenitic match | 7020-T6 (Rp0.2 ≈290)
→ lower; no direct Al match | No common aluminium alloy in EC9 list reaches S355 yield</t>
  </si>
  <si>
    <t xml:space="preserve">2205 Duplex (Rp0.2 ≈450) ≈ close
Lean duplex 1.4162 ≈450</t>
  </si>
  <si>
    <t xml:space="preserve">No standard structural Al alloy at this level</t>
  </si>
  <si>
    <t xml:space="preserve">Only duplex stainless approaches S460 proof strength</t>
  </si>
  <si>
    <t xml:space="preserve">S460 | 460 | 2205 Duplex (Rp0.2 ≈450) ≈ close
Lean duplex 1.4162 ≈450 | No standard structural Al alloy at this level | Only duplex stainless approaches S460 proof strength</t>
  </si>
  <si>
    <t xml:space="preserve">Super duplex / 1.4410
(Rp0.2 ≈500–550)</t>
  </si>
  <si>
    <t xml:space="preserve">No equivalent in structural Al</t>
  </si>
  <si>
    <t xml:space="preserve">Ultra-high-strength — only super-duplex SS approaches</t>
  </si>
  <si>
    <t xml:space="preserve">S500 | 500 | Super duplex / 1.4410
(Rp0.2 ≈500–550) | No equivalent in structural Al | Ultra-high-strength — only super-duplex SS approaches</t>
  </si>
  <si>
    <t xml:space="preserve">Sources: EN 1993-1-1:2005, EN 1993-1-4:2006, EN 1999-1-1:2007, EN 10025:2019, EN 10088-4:2009, EN 755-2:2016 | Partial safety factors per Eurocode National Annexes may differ from base values shown</t>
  </si>
  <si>
    <t xml:space="preserve">SS Catalogue</t>
  </si>
  <si>
    <t xml:space="preserve">TSA Industries Sdn Bhd — Stainless Steel Ornamental Tube &amp; Hollow</t>
  </si>
  <si>
    <t xml:space="preserve">ASTM A554  |  Grades: 304 / 316L / 439 / 201  |  Surface finish: Polish grit 180–800  |  Standard length: 6 m</t>
  </si>
  <si>
    <t xml:space="preserve">Supplier Information</t>
  </si>
  <si>
    <t xml:space="preserve">TSA Industries Sdn Bhd (280699-W)</t>
  </si>
  <si>
    <t xml:space="preserve">Company | TSA Industries Sdn Bhd (280699-W)</t>
  </si>
  <si>
    <t xml:space="preserve">Head Office</t>
  </si>
  <si>
    <t xml:space="preserve">Lot 3998, Jalan 6/2A, Taman Industri Selesa Jaya, 43300 Balakong, Selangor Darul Ehsan, Malaysia</t>
  </si>
  <si>
    <t xml:space="preserve">Head Office | Lot 3998, Jalan 6/2A, Taman Industri Selesa Jaya, 43300 Balakong, Selangor Darul Ehsan, Malaysia</t>
  </si>
  <si>
    <t xml:space="preserve">Tel</t>
  </si>
  <si>
    <t xml:space="preserve">+603-8962 2888</t>
  </si>
  <si>
    <t xml:space="preserve">Tel | +603-8962 2888</t>
  </si>
  <si>
    <t xml:space="preserve">Fax</t>
  </si>
  <si>
    <t xml:space="preserve">+603-8962 1888</t>
  </si>
  <si>
    <t xml:space="preserve">Fax | +603-8962 1888</t>
  </si>
  <si>
    <t xml:space="preserve">tsa@tsa.com.my</t>
  </si>
  <si>
    <t xml:space="preserve">Email | tsa@tsa.com.my</t>
  </si>
  <si>
    <t xml:space="preserve">Website</t>
  </si>
  <si>
    <t xml:space="preserve">www.tsa.com.my</t>
  </si>
  <si>
    <t xml:space="preserve">Website | www.tsa.com.my</t>
  </si>
  <si>
    <t xml:space="preserve">Est.</t>
  </si>
  <si>
    <t xml:space="preserve">Since 1993  |  ISO 9001:2015 Certified  |  Annual capacity &gt;20,000 MT</t>
  </si>
  <si>
    <t xml:space="preserve">Est. | Since 1993  |  ISO 9001:2015 Certified  |  Annual capacity &gt;20,000 MT</t>
  </si>
  <si>
    <t xml:space="preserve">Exports</t>
  </si>
  <si>
    <t xml:space="preserve">30+ countries worldwide under TSS brand</t>
  </si>
  <si>
    <t xml:space="preserve">Exports | 30+ countries worldwide under TSS brand</t>
  </si>
  <si>
    <t xml:space="preserve">Singapore</t>
  </si>
  <si>
    <t xml:space="preserve">No.23, Senoko Avenue, Woodlands East Industrial Estate, Singapore 758313  |  Tel: +65-64838308</t>
  </si>
  <si>
    <t xml:space="preserve">Singapore | No.23, Senoko Avenue, Woodlands East Industrial Estate, Singapore 758313  |  Tel: +65-64838308</t>
  </si>
  <si>
    <t xml:space="preserve">Johor</t>
  </si>
  <si>
    <t xml:space="preserve">No.24 &amp; 22, Jalan Gemilang 7, Taman Perindustrian Cemerlang, 81800 Ulu Tiram, Johor  |  Tel: 07-862 8982</t>
  </si>
  <si>
    <t xml:space="preserve">Johor | No.24 &amp; 22, Jalan Gemilang 7, Taman Perindustrian Cemerlang, 81800 Ulu Tiram, Johor  |  Tel: 07-862 8982</t>
  </si>
  <si>
    <t xml:space="preserve">Product Catalogue — Sheet Index</t>
  </si>
  <si>
    <t xml:space="preserve">Product Type</t>
  </si>
  <si>
    <t xml:space="preserve">Size Range (mm)</t>
  </si>
  <si>
    <t xml:space="preserve">Wall Thickness Range</t>
  </si>
  <si>
    <t xml:space="preserve">No. of Sizes</t>
  </si>
  <si>
    <t xml:space="preserve">Sheet Tab | Product Type | Size Range (mm) | Wall Thickness Range | No. of Sizes</t>
  </si>
  <si>
    <t xml:space="preserve">SQ Tube</t>
  </si>
  <si>
    <t xml:space="preserve">Square Tube</t>
  </si>
  <si>
    <t xml:space="preserve">12–150 mm</t>
  </si>
  <si>
    <t xml:space="preserve">0.60–6.00 mm</t>
  </si>
  <si>
    <t xml:space="preserve">SQ Tube | Square Tube | 12–150 mm | 0.60–6.00 mm | 20</t>
  </si>
  <si>
    <t xml:space="preserve">RHS Tube</t>
  </si>
  <si>
    <t xml:space="preserve">Rectangular Tube</t>
  </si>
  <si>
    <t xml:space="preserve">6×50–100×200</t>
  </si>
  <si>
    <t xml:space="preserve">32</t>
  </si>
  <si>
    <t xml:space="preserve">RHS Tube | Rectangular Tube | 6×50–100×200 | 0.60–6.00 mm | 32</t>
  </si>
  <si>
    <t xml:space="preserve">Slotted Tube</t>
  </si>
  <si>
    <t xml:space="preserve">3 profiles</t>
  </si>
  <si>
    <t xml:space="preserve">1.20–1.50 mm</t>
  </si>
  <si>
    <t xml:space="preserve">3</t>
  </si>
  <si>
    <t xml:space="preserve">Slotted Tube | Slotted Tube | 3 profiles | 1.20–1.50 mm | 3</t>
  </si>
  <si>
    <t xml:space="preserve">Round Tube</t>
  </si>
  <si>
    <t xml:space="preserve">Round Tube (CHS)</t>
  </si>
  <si>
    <t xml:space="preserve">9.53–219 mm</t>
  </si>
  <si>
    <t xml:space="preserve">53</t>
  </si>
  <si>
    <t xml:space="preserve">Round Tube | Round Tube (CHS) | 9.53–219 mm | 0.60–6.00 mm | 53</t>
  </si>
  <si>
    <t xml:space="preserve">Available Grades &amp; Surface Finishes</t>
  </si>
  <si>
    <t xml:space="preserve">Grade 304</t>
  </si>
  <si>
    <t xml:space="preserve">1.4301 / AISI 304 — Most common austenitic grade; good corrosion resistance; general fabrication</t>
  </si>
  <si>
    <t xml:space="preserve">Grade 304 | 1.4301 / AISI 304 — Most common austenitic grade; good corrosion resistance; general fabrication</t>
  </si>
  <si>
    <t xml:space="preserve">Grade 316L</t>
  </si>
  <si>
    <t xml:space="preserve">1.4404 / AISI 316L — Molybdenum addition; superior marine/chemical resistance; low carbon for welding</t>
  </si>
  <si>
    <t xml:space="preserve">Grade 316L | 1.4404 / AISI 316L — Molybdenum addition; superior marine/chemical resistance; low carbon for welding</t>
  </si>
  <si>
    <t xml:space="preserve">Grade 439</t>
  </si>
  <si>
    <t xml:space="preserve">1.4510 / AISI 439 — Ferritic grade; good heat resistance; lower cost than austenitic; automotive/architectural</t>
  </si>
  <si>
    <t xml:space="preserve">Grade 439 | 1.4510 / AISI 439 — Ferritic grade; good heat resistance; lower cost than austenitic; automotive/architectural</t>
  </si>
  <si>
    <t xml:space="preserve">Grade 201</t>
  </si>
  <si>
    <t xml:space="preserve">1.4372 / AISI 201 — Lower nickel austenitic; economical option; reduced corrosion resistance vs 304</t>
  </si>
  <si>
    <t xml:space="preserve">Grade 201 | 1.4372 / AISI 201 — Lower nickel austenitic; economical option; reduced corrosion resistance vs 304</t>
  </si>
  <si>
    <t xml:space="preserve">Others</t>
  </si>
  <si>
    <t xml:space="preserve">Custom grades available on request — contact TSA for special grades/finishes</t>
  </si>
  <si>
    <t xml:space="preserve">Others | Custom grades available on request — contact TSA for special grades/finishes</t>
  </si>
  <si>
    <t xml:space="preserve">Surface 180</t>
  </si>
  <si>
    <t xml:space="preserve">Coarse polish — general industrial use</t>
  </si>
  <si>
    <t xml:space="preserve">Surface 180 | Coarse polish — general industrial use</t>
  </si>
  <si>
    <t xml:space="preserve">Surface 240</t>
  </si>
  <si>
    <t xml:space="preserve">Medium-fine polish — standard architectural finish</t>
  </si>
  <si>
    <t xml:space="preserve">Surface 240 | Medium-fine polish — standard architectural finish</t>
  </si>
  <si>
    <t xml:space="preserve">Surface 320</t>
  </si>
  <si>
    <t xml:space="preserve">Fine polish — decorative architectural</t>
  </si>
  <si>
    <t xml:space="preserve">Surface 320 | Fine polish — decorative architectural</t>
  </si>
  <si>
    <t xml:space="preserve">Surface 400</t>
  </si>
  <si>
    <t xml:space="preserve">Very fine — high-spec interior applications</t>
  </si>
  <si>
    <t xml:space="preserve">Surface 400 | Very fine — high-spec interior applications</t>
  </si>
  <si>
    <t xml:space="preserve">Surface 600/800</t>
  </si>
  <si>
    <t xml:space="preserve">Mirror-near polish — premium decorative, hygienic applications</t>
  </si>
  <si>
    <t xml:space="preserve">Surface 600/800 | Mirror-near polish — premium decorative, hygienic applications</t>
  </si>
  <si>
    <t xml:space="preserve">Source: TSA Industries Sdn Bhd — ASTM A554 Ornamental Tube &amp; Hollow Catalogue  |  www.tsa.com.my  |  Extracted: 09 Apr 2026</t>
  </si>
  <si>
    <t xml:space="preserve">ASTM A554 — Square Tube (SHS)</t>
  </si>
  <si>
    <t xml:space="preserve">Stainless steel square hollow sections | TSA Industries Sdn Bhd</t>
  </si>
  <si>
    <t xml:space="preserve">Specification</t>
  </si>
  <si>
    <t xml:space="preserve">ASTM A554</t>
  </si>
  <si>
    <t xml:space="preserve">Specification | ASTM A554</t>
  </si>
  <si>
    <t xml:space="preserve">304 / 316L / 439 / 201 and others</t>
  </si>
  <si>
    <t xml:space="preserve">Grade | 304 / 316L / 439 / 201 and others</t>
  </si>
  <si>
    <t xml:space="preserve">Surface</t>
  </si>
  <si>
    <t xml:space="preserve">Polish grit 180, 240, 320, 400, 600 &amp; 800</t>
  </si>
  <si>
    <t xml:space="preserve">Surface | Polish grit 180, 240, 320, 400, 600 &amp; 800</t>
  </si>
  <si>
    <t xml:space="preserve">Length</t>
  </si>
  <si>
    <t xml:space="preserve">Standard 6 meter; customize length with MOQ required</t>
  </si>
  <si>
    <t xml:space="preserve">Length | Standard 6 meter; customize length with MOQ required</t>
  </si>
  <si>
    <t xml:space="preserve">  20 sizes available  |  Wall thicknesses from 0.60 mm to 6.00 mm  |  All dimensions in millimetres (mm)</t>
  </si>
  <si>
    <t xml:space="preserve">WALL THICKNESS (MM)</t>
  </si>
  <si>
    <t xml:space="preserve">Size (mm)
[Square Side]</t>
  </si>
  <si>
    <t xml:space="preserve">0.6</t>
  </si>
  <si>
    <t xml:space="preserve">0.7</t>
  </si>
  <si>
    <t xml:space="preserve">0.8</t>
  </si>
  <si>
    <t xml:space="preserve">1</t>
  </si>
  <si>
    <t xml:space="preserve">Size (mm)
[Square Side] | 0.6 | 0.7 | 0.8 | 1</t>
  </si>
  <si>
    <t xml:space="preserve">12.00</t>
  </si>
  <si>
    <t xml:space="preserve">√</t>
  </si>
  <si>
    <t xml:space="preserve">12.00 | √ | √ | √ | √</t>
  </si>
  <si>
    <t xml:space="preserve">12.70</t>
  </si>
  <si>
    <t xml:space="preserve">12.70 | √ | √ | √</t>
  </si>
  <si>
    <t xml:space="preserve">15.00</t>
  </si>
  <si>
    <t xml:space="preserve">15.00 | √ | √ | √ | √</t>
  </si>
  <si>
    <t xml:space="preserve">15.88</t>
  </si>
  <si>
    <t xml:space="preserve">15.88 | √ | √ | √ | √</t>
  </si>
  <si>
    <t xml:space="preserve">19.05</t>
  </si>
  <si>
    <t xml:space="preserve">19.05 | √ | √ | √ | √</t>
  </si>
  <si>
    <t xml:space="preserve">20.00</t>
  </si>
  <si>
    <t xml:space="preserve">20.00 | √</t>
  </si>
  <si>
    <t xml:space="preserve">22.23</t>
  </si>
  <si>
    <t xml:space="preserve">25.00</t>
  </si>
  <si>
    <t xml:space="preserve">25.00 | √ | √</t>
  </si>
  <si>
    <t xml:space="preserve">25.40</t>
  </si>
  <si>
    <t xml:space="preserve">25.40 | √ | √</t>
  </si>
  <si>
    <t xml:space="preserve">30.00</t>
  </si>
  <si>
    <t xml:space="preserve">30.00 | √ | √</t>
  </si>
  <si>
    <t xml:space="preserve">31.75</t>
  </si>
  <si>
    <t xml:space="preserve">31.75 | √ | √</t>
  </si>
  <si>
    <t xml:space="preserve">38.10</t>
  </si>
  <si>
    <t xml:space="preserve">38.10 | √ | √</t>
  </si>
  <si>
    <t xml:space="preserve">40.00</t>
  </si>
  <si>
    <t xml:space="preserve">40.00 | √ | √</t>
  </si>
  <si>
    <t xml:space="preserve">50.00</t>
  </si>
  <si>
    <t xml:space="preserve">50.00 | √ | √</t>
  </si>
  <si>
    <t xml:space="preserve">50.80</t>
  </si>
  <si>
    <t xml:space="preserve">50.80 | √ | √</t>
  </si>
  <si>
    <t xml:space="preserve">60.00</t>
  </si>
  <si>
    <t xml:space="preserve">80.00</t>
  </si>
  <si>
    <t xml:space="preserve">100.00</t>
  </si>
  <si>
    <t xml:space="preserve">125.00</t>
  </si>
  <si>
    <t xml:space="preserve">150.00</t>
  </si>
  <si>
    <t xml:space="preserve">√ = Standard stock (immediate availability)      ◇ = Available with Minimum Order Quantity (MOQ) required      Blank = Not offered in this size</t>
  </si>
  <si>
    <t xml:space="preserve">ASTM A554 — Rectangular Tube (RHS)</t>
  </si>
  <si>
    <t xml:space="preserve">Stainless steel rectangular hollow sections | TSA Industries Sdn Bhd</t>
  </si>
  <si>
    <t xml:space="preserve">  32 sizes available  |  Wall thicknesses from 0.60 mm to 6.00 mm  |  Format: Width × Height (mm)</t>
  </si>
  <si>
    <t xml:space="preserve">Size (mm)
[Width × Height]</t>
  </si>
  <si>
    <t xml:space="preserve">Size (mm)
[Width × Height] | 0.6 | 0.7 | 0.8 | 1</t>
  </si>
  <si>
    <t xml:space="preserve">6.00 X 50.00</t>
  </si>
  <si>
    <t xml:space="preserve">6.35 X 25.40</t>
  </si>
  <si>
    <t xml:space="preserve">9.53 X 19.05</t>
  </si>
  <si>
    <t xml:space="preserve">9.53 X 19.05 | √ | √ | √ | √</t>
  </si>
  <si>
    <t xml:space="preserve">10.00 X 20.00</t>
  </si>
  <si>
    <t xml:space="preserve">10.00 X 30.00</t>
  </si>
  <si>
    <t xml:space="preserve">10.00 X 40.00</t>
  </si>
  <si>
    <t xml:space="preserve">10.00 X 50.00</t>
  </si>
  <si>
    <t xml:space="preserve">10.00 X 60.00</t>
  </si>
  <si>
    <t xml:space="preserve">10.00 X 75.00</t>
  </si>
  <si>
    <t xml:space="preserve">12.00 X 50.00</t>
  </si>
  <si>
    <t xml:space="preserve">12.00 X 75.00</t>
  </si>
  <si>
    <t xml:space="preserve">15.00 X 30.00</t>
  </si>
  <si>
    <t xml:space="preserve">15.00 X 30.00 | √</t>
  </si>
  <si>
    <t xml:space="preserve">12.70 X 25.40</t>
  </si>
  <si>
    <t xml:space="preserve">12.70 X 25.40 | √ | √</t>
  </si>
  <si>
    <t xml:space="preserve">19.05 X 38.10</t>
  </si>
  <si>
    <t xml:space="preserve">19.05 X 38.10 | √</t>
  </si>
  <si>
    <t xml:space="preserve">20.00 X 30.00</t>
  </si>
  <si>
    <t xml:space="preserve">20.00 X 40.00</t>
  </si>
  <si>
    <t xml:space="preserve">20.00 X 40.00 | √</t>
  </si>
  <si>
    <t xml:space="preserve">25.00 X 50.00</t>
  </si>
  <si>
    <t xml:space="preserve">25.00 X 50.00 | √</t>
  </si>
  <si>
    <t xml:space="preserve">25.40 X 38.10</t>
  </si>
  <si>
    <t xml:space="preserve">25.40 X 38.10 | √</t>
  </si>
  <si>
    <t xml:space="preserve">25.40 X 50.80</t>
  </si>
  <si>
    <t xml:space="preserve">25.40 X 50.80 | √ | √</t>
  </si>
  <si>
    <t xml:space="preserve">25.40 X 76.20</t>
  </si>
  <si>
    <t xml:space="preserve">25.40 X 76.20 | √</t>
  </si>
  <si>
    <t xml:space="preserve">30.00 X 50.00</t>
  </si>
  <si>
    <t xml:space="preserve">30.00 X 60.00</t>
  </si>
  <si>
    <t xml:space="preserve">30.00 X 60.00 | √</t>
  </si>
  <si>
    <t xml:space="preserve">40.00 X 60.00</t>
  </si>
  <si>
    <t xml:space="preserve">40.00 X 80.00</t>
  </si>
  <si>
    <t xml:space="preserve">40.00 X 80.00 | √</t>
  </si>
  <si>
    <t xml:space="preserve">45.00 X 75.00</t>
  </si>
  <si>
    <t xml:space="preserve">45.00 X 75.00 | √</t>
  </si>
  <si>
    <t xml:space="preserve">50.00 X 100.00</t>
  </si>
  <si>
    <t xml:space="preserve">50.80 X 76.20</t>
  </si>
  <si>
    <t xml:space="preserve">60.00 X 120.00</t>
  </si>
  <si>
    <t xml:space="preserve">80.00 X 140.00</t>
  </si>
  <si>
    <t xml:space="preserve">80.00 X 160.00</t>
  </si>
  <si>
    <t xml:space="preserve">100.00 X 150.00</t>
  </si>
  <si>
    <t xml:space="preserve">100.00 X 200.00</t>
  </si>
  <si>
    <t xml:space="preserve">ASTM A554 — Slotted Tube</t>
  </si>
  <si>
    <t xml:space="preserve">Stainless steel slotted hollow sections | TSA Industries Sdn Bhd</t>
  </si>
  <si>
    <t xml:space="preserve">Slotted tube (also called channel tube or handrail slot tube) features a continuous longitudinal slot running the full length. Used for glass balustrade systems, architectural handrails, and cable routing channels. Slot opening: 19.00 mm. Available in round, square, and rectangular profiles.</t>
  </si>
  <si>
    <t xml:space="preserve">Profile (mm)
[O.D × Slot]</t>
  </si>
  <si>
    <t xml:space="preserve">Profile (mm)
[O.D × Slot] | 0.6 | 0.7 | 0.8 | 1</t>
  </si>
  <si>
    <t xml:space="preserve">50.80 X 19.00 (slot) - round</t>
  </si>
  <si>
    <t xml:space="preserve">50.00 X 50.00 X 19.00 (slot) - square</t>
  </si>
  <si>
    <t xml:space="preserve">25.00 X 50.00 X 19.00 (slot) - rectangular</t>
  </si>
  <si>
    <t xml:space="preserve">ASTM A554 — Round Tube (CHS)</t>
  </si>
  <si>
    <t xml:space="preserve">Stainless steel circular hollow sections | TSA Industries Sdn Bhd</t>
  </si>
  <si>
    <t xml:space="preserve">  53 sizes available  |  OD range: 9.53–219.00 mm  |  Wall thicknesses from 0.60–6.00 mm  |  All dimensions = Outside Diameter (O.D.) in mm</t>
  </si>
  <si>
    <t xml:space="preserve">O.D. (mm)
[Outside Diameter]</t>
  </si>
  <si>
    <t xml:space="preserve">O.D. (mm)
[Outside Diameter] | 0.6 | 0.7 | 0.8 | 1</t>
  </si>
  <si>
    <t xml:space="preserve">9.53</t>
  </si>
  <si>
    <t xml:space="preserve">9.53 | √ | √ | √ | √</t>
  </si>
  <si>
    <t xml:space="preserve">12.70 | √ | √ | √ | √</t>
  </si>
  <si>
    <t xml:space="preserve">13.00</t>
  </si>
  <si>
    <t xml:space="preserve">13.00 | √ | √ | √ | √</t>
  </si>
  <si>
    <t xml:space="preserve">16.00</t>
  </si>
  <si>
    <t xml:space="preserve">16.00 | √ | √ | √ | √</t>
  </si>
  <si>
    <t xml:space="preserve">18.00</t>
  </si>
  <si>
    <t xml:space="preserve">18.00 | √ | √ | √ | √</t>
  </si>
  <si>
    <t xml:space="preserve">18.50</t>
  </si>
  <si>
    <t xml:space="preserve">18.50 | √ | √ | √ | √</t>
  </si>
  <si>
    <t xml:space="preserve">20.00 | √ | √ | √ | √</t>
  </si>
  <si>
    <t xml:space="preserve">21.30</t>
  </si>
  <si>
    <t xml:space="preserve">21.30 | √ | √ | √ | √</t>
  </si>
  <si>
    <t xml:space="preserve">22.00</t>
  </si>
  <si>
    <t xml:space="preserve">22.00 | √ | √ | √ | √</t>
  </si>
  <si>
    <t xml:space="preserve">22.23 | √ | √ | √ | √</t>
  </si>
  <si>
    <t xml:space="preserve">25.00 | √ | √ | √</t>
  </si>
  <si>
    <t xml:space="preserve">25.40 | √ | √ | √</t>
  </si>
  <si>
    <t xml:space="preserve">26.70</t>
  </si>
  <si>
    <t xml:space="preserve">26.70 | √ | √ | √</t>
  </si>
  <si>
    <t xml:space="preserve">26.90</t>
  </si>
  <si>
    <t xml:space="preserve">26.90 | √ | √ | √</t>
  </si>
  <si>
    <t xml:space="preserve">27.60</t>
  </si>
  <si>
    <t xml:space="preserve">27.60 | √ | √</t>
  </si>
  <si>
    <t xml:space="preserve">28.00</t>
  </si>
  <si>
    <t xml:space="preserve">28.00 | √ | √ | √</t>
  </si>
  <si>
    <t xml:space="preserve">28.58</t>
  </si>
  <si>
    <t xml:space="preserve">28.58 | √ | √ | √</t>
  </si>
  <si>
    <t xml:space="preserve">31.75 | √</t>
  </si>
  <si>
    <t xml:space="preserve">32.00</t>
  </si>
  <si>
    <t xml:space="preserve">32.00 | √</t>
  </si>
  <si>
    <t xml:space="preserve">33.40</t>
  </si>
  <si>
    <t xml:space="preserve">33.40 | √</t>
  </si>
  <si>
    <t xml:space="preserve">33.70</t>
  </si>
  <si>
    <t xml:space="preserve">33.70 | √</t>
  </si>
  <si>
    <t xml:space="preserve">35.00</t>
  </si>
  <si>
    <t xml:space="preserve">35.00 | √</t>
  </si>
  <si>
    <t xml:space="preserve">38.00</t>
  </si>
  <si>
    <t xml:space="preserve">38.00 | √</t>
  </si>
  <si>
    <t xml:space="preserve">38.10 | √</t>
  </si>
  <si>
    <t xml:space="preserve">40.00 | √</t>
  </si>
  <si>
    <t xml:space="preserve">41.28</t>
  </si>
  <si>
    <t xml:space="preserve">41.28 | √</t>
  </si>
  <si>
    <t xml:space="preserve">42.40</t>
  </si>
  <si>
    <t xml:space="preserve">42.40 | √</t>
  </si>
  <si>
    <t xml:space="preserve">43.00</t>
  </si>
  <si>
    <t xml:space="preserve">43.00 | √</t>
  </si>
  <si>
    <t xml:space="preserve">44.45</t>
  </si>
  <si>
    <t xml:space="preserve">44.45 | √</t>
  </si>
  <si>
    <t xml:space="preserve">47.63</t>
  </si>
  <si>
    <t xml:space="preserve">47.63 | √</t>
  </si>
  <si>
    <t xml:space="preserve">48.30</t>
  </si>
  <si>
    <t xml:space="preserve">48.30 | √</t>
  </si>
  <si>
    <t xml:space="preserve">50.00 | √</t>
  </si>
  <si>
    <t xml:space="preserve">50.80 | √</t>
  </si>
  <si>
    <t xml:space="preserve">53.98</t>
  </si>
  <si>
    <t xml:space="preserve">53.98 | √</t>
  </si>
  <si>
    <t xml:space="preserve">56.00</t>
  </si>
  <si>
    <t xml:space="preserve">56.00 | √</t>
  </si>
  <si>
    <t xml:space="preserve">57.15</t>
  </si>
  <si>
    <t xml:space="preserve">57.15 | √</t>
  </si>
  <si>
    <t xml:space="preserve">60.30</t>
  </si>
  <si>
    <t xml:space="preserve">60.30 | √</t>
  </si>
  <si>
    <t xml:space="preserve">63.50</t>
  </si>
  <si>
    <t xml:space="preserve">76.20</t>
  </si>
  <si>
    <t xml:space="preserve">76.20 | √</t>
  </si>
  <si>
    <t xml:space="preserve">88.90</t>
  </si>
  <si>
    <t xml:space="preserve">101.60</t>
  </si>
  <si>
    <t xml:space="preserve">114.30</t>
  </si>
  <si>
    <t xml:space="preserve">127.00</t>
  </si>
  <si>
    <t xml:space="preserve">152.40</t>
  </si>
  <si>
    <t xml:space="preserve">159.00</t>
  </si>
  <si>
    <t xml:space="preserve">191.00</t>
  </si>
  <si>
    <t xml:space="preserve">203.20</t>
  </si>
  <si>
    <t xml:space="preserve">219.00</t>
  </si>
  <si>
    <t xml:space="preserve">MS Catalogue</t>
  </si>
  <si>
    <t xml:space="preserve">Jin Yuan Fa Hardware Industries Pte Ltd — Metal Product Catalogue</t>
  </si>
  <si>
    <t xml:space="preserve">Structural steel sections · Hollow sections · Pipes · Plates · Bars · Channels · Wide Flange · Floor Grating · Galvanized Sheets</t>
  </si>
  <si>
    <t xml:space="preserve">Product Name</t>
  </si>
  <si>
    <t xml:space="preserve">Contents Summary</t>
  </si>
  <si>
    <t xml:space="preserve">Standards</t>
  </si>
  <si>
    <t xml:space="preserve">Sheet Tab | Product Name | Contents Summary | Standards</t>
  </si>
  <si>
    <r>
      <rPr>
        <sz val="11"/>
        <color theme="1"/>
        <rFont val="Calibri"/>
        <family val="2"/>
        <charset val="1"/>
      </rPr>
      <t xml:space="preserve">Shipbuild Flat (</t>
    </r>
    <r>
      <rPr>
        <sz val="11"/>
        <color theme="1"/>
        <rFont val="Noto Sans CJK SC"/>
        <family val="2"/>
      </rPr>
      <t xml:space="preserve">扁鐵</t>
    </r>
    <r>
      <rPr>
        <sz val="11"/>
        <color theme="1"/>
        <rFont val="Calibri"/>
        <family val="2"/>
        <charset val="1"/>
      </rPr>
      <t xml:space="preserve">)</t>
    </r>
  </si>
  <si>
    <t xml:space="preserve">Flat bar — thickness × width sections, Kg/m &amp; Kg/6m</t>
  </si>
  <si>
    <t xml:space="preserve">EN S275JR, ASTM A36, JIS SS400</t>
  </si>
  <si>
    <r>
      <rPr>
        <sz val="11"/>
        <color theme="1"/>
        <rFont val="Calibri"/>
        <family val="2"/>
        <charset val="1"/>
      </rPr>
      <t xml:space="preserve">MS Shipbuild Flat | Shipbuild Flat (</t>
    </r>
    <r>
      <rPr>
        <sz val="11"/>
        <color theme="1"/>
        <rFont val="Noto Sans CJK SC"/>
        <family val="2"/>
      </rPr>
      <t xml:space="preserve">扁鐵</t>
    </r>
    <r>
      <rPr>
        <sz val="11"/>
        <color theme="1"/>
        <rFont val="Calibri"/>
        <family val="2"/>
        <charset val="1"/>
      </rPr>
      <t xml:space="preserve">) | Flat bar — thickness × width sections, Kg/m &amp; Kg/6m | EN S275JR, ASTM A36, JIS SS400</t>
    </r>
  </si>
  <si>
    <r>
      <rPr>
        <sz val="11"/>
        <color theme="1"/>
        <rFont val="Calibri"/>
        <family val="2"/>
        <charset val="1"/>
      </rPr>
      <t xml:space="preserve">Equal Angles Bar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</t>
    </r>
  </si>
  <si>
    <t xml:space="preserve">Equal leg angles H×B, thickness, unit weight</t>
  </si>
  <si>
    <r>
      <rPr>
        <sz val="11"/>
        <color theme="1"/>
        <rFont val="Calibri"/>
        <family val="2"/>
        <charset val="1"/>
      </rPr>
      <t xml:space="preserve">MS Equal Angles | Equal Angles Bar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 | Equal leg angles H×B, thickness, unit weight | EN S275JR, ASTM A36, JIS SS400</t>
    </r>
  </si>
  <si>
    <r>
      <rPr>
        <sz val="11"/>
        <color theme="1"/>
        <rFont val="Calibri"/>
        <family val="2"/>
        <charset val="1"/>
      </rPr>
      <t xml:space="preserve">Unequal Angle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</t>
    </r>
  </si>
  <si>
    <t xml:space="preserve">Unequal leg angles H×B, thickness, Kg/m &amp; Kg/6m</t>
  </si>
  <si>
    <t xml:space="preserve">EN S275JR, S335JR, ASTM A36</t>
  </si>
  <si>
    <r>
      <rPr>
        <sz val="11"/>
        <color theme="1"/>
        <rFont val="Calibri"/>
        <family val="2"/>
        <charset val="1"/>
      </rPr>
      <t xml:space="preserve">MS Unequal Angles | Unequal Angle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 | Unequal leg angles H×B, thickness, Kg/m &amp; Kg/6m | EN S275JR, S335JR, ASTM A36</t>
    </r>
  </si>
  <si>
    <r>
      <rPr>
        <sz val="11"/>
        <color theme="1"/>
        <rFont val="Calibri"/>
        <family val="2"/>
        <charset val="1"/>
      </rPr>
      <t xml:space="preserve">Lipped Channel (</t>
    </r>
    <r>
      <rPr>
        <sz val="11"/>
        <color theme="1"/>
        <rFont val="Noto Sans CJK SC"/>
        <family val="2"/>
      </rPr>
      <t xml:space="preserve">輕皮</t>
    </r>
    <r>
      <rPr>
        <sz val="11"/>
        <color theme="1"/>
        <rFont val="Calibri"/>
        <family val="2"/>
        <charset val="1"/>
      </rPr>
      <t xml:space="preserve">)</t>
    </r>
  </si>
  <si>
    <t xml:space="preserve">Cold-formed lipped C-section H×A×C, T(mm)</t>
  </si>
  <si>
    <r>
      <rPr>
        <sz val="11"/>
        <color theme="1"/>
        <rFont val="Calibri"/>
        <family val="2"/>
        <charset val="1"/>
      </rPr>
      <t xml:space="preserve">MS Lipped Channel | Lipped Channel (</t>
    </r>
    <r>
      <rPr>
        <sz val="11"/>
        <color theme="1"/>
        <rFont val="Noto Sans CJK SC"/>
        <family val="2"/>
      </rPr>
      <t xml:space="preserve">輕皮</t>
    </r>
    <r>
      <rPr>
        <sz val="11"/>
        <color theme="1"/>
        <rFont val="Calibri"/>
        <family val="2"/>
        <charset val="1"/>
      </rPr>
      <t xml:space="preserve">) | Cold-formed lipped C-section H×A×C, T(mm) | EN S275JR, S335JR, ASTM A36</t>
    </r>
  </si>
  <si>
    <r>
      <rPr>
        <sz val="11"/>
        <color theme="1"/>
        <rFont val="Calibri"/>
        <family val="2"/>
        <charset val="1"/>
      </rPr>
      <t xml:space="preserve">Plain Channel C (C</t>
    </r>
    <r>
      <rPr>
        <sz val="11"/>
        <color theme="1"/>
        <rFont val="Noto Sans CJK SC"/>
        <family val="2"/>
      </rPr>
      <t xml:space="preserve">輕型鐵</t>
    </r>
    <r>
      <rPr>
        <sz val="11"/>
        <color theme="1"/>
        <rFont val="Calibri"/>
        <family val="2"/>
        <charset val="1"/>
      </rPr>
      <t xml:space="preserve">)</t>
    </r>
  </si>
  <si>
    <t xml:space="preserve">Plain C-channel H×A×B, thickness, unit weight</t>
  </si>
  <si>
    <r>
      <rPr>
        <sz val="11"/>
        <color theme="1"/>
        <rFont val="Calibri"/>
        <family val="2"/>
        <charset val="1"/>
      </rPr>
      <t xml:space="preserve">MS Plain Channel | Plain Channel C (C</t>
    </r>
    <r>
      <rPr>
        <sz val="11"/>
        <color theme="1"/>
        <rFont val="Noto Sans CJK SC"/>
        <family val="2"/>
      </rPr>
      <t xml:space="preserve">輕型鐵</t>
    </r>
    <r>
      <rPr>
        <sz val="11"/>
        <color theme="1"/>
        <rFont val="Calibri"/>
        <family val="2"/>
        <charset val="1"/>
      </rPr>
      <t xml:space="preserve">) | Plain C-channel H×A×B, thickness, unit weight | EN S275JR, S335JR, ASTM A36</t>
    </r>
  </si>
  <si>
    <r>
      <rPr>
        <sz val="11"/>
        <color theme="1"/>
        <rFont val="Calibri"/>
        <family val="2"/>
        <charset val="1"/>
      </rPr>
      <t xml:space="preserve">Carbon Steel Pipe (</t>
    </r>
    <r>
      <rPr>
        <sz val="11"/>
        <color theme="1"/>
        <rFont val="Noto Sans CJK SC"/>
        <family val="2"/>
      </rPr>
      <t xml:space="preserve">碳鋼管</t>
    </r>
    <r>
      <rPr>
        <sz val="11"/>
        <color theme="1"/>
        <rFont val="Calibri"/>
        <family val="2"/>
        <charset val="1"/>
      </rPr>
      <t xml:space="preserve">)</t>
    </r>
  </si>
  <si>
    <t xml:space="preserve">Ordinary carbon pipe — OD, wall thickness, weight</t>
  </si>
  <si>
    <t xml:space="preserve">JIS G3452-1969-SGP</t>
  </si>
  <si>
    <r>
      <rPr>
        <sz val="11"/>
        <color theme="1"/>
        <rFont val="Calibri"/>
        <family val="2"/>
        <charset val="1"/>
      </rPr>
      <t xml:space="preserve">MS Carbon Pipe | Carbon Steel Pipe (</t>
    </r>
    <r>
      <rPr>
        <sz val="11"/>
        <color theme="1"/>
        <rFont val="Noto Sans CJK SC"/>
        <family val="2"/>
      </rPr>
      <t xml:space="preserve">碳鋼管</t>
    </r>
    <r>
      <rPr>
        <sz val="11"/>
        <color theme="1"/>
        <rFont val="Calibri"/>
        <family val="2"/>
        <charset val="1"/>
      </rPr>
      <t xml:space="preserve">) | Ordinary carbon pipe — OD, wall thickness, weight | JIS G3452-1969-SGP</t>
    </r>
  </si>
  <si>
    <r>
      <rPr>
        <sz val="11"/>
        <color theme="1"/>
        <rFont val="Calibri"/>
        <family val="2"/>
        <charset val="1"/>
      </rPr>
      <t xml:space="preserve">Welded Steel Pipe (</t>
    </r>
    <r>
      <rPr>
        <sz val="11"/>
        <color theme="1"/>
        <rFont val="Noto Sans CJK SC"/>
        <family val="2"/>
      </rPr>
      <t xml:space="preserve">焊接鋼管</t>
    </r>
    <r>
      <rPr>
        <sz val="11"/>
        <color theme="1"/>
        <rFont val="Calibri"/>
        <family val="2"/>
        <charset val="1"/>
      </rPr>
      <t xml:space="preserve">)</t>
    </r>
  </si>
  <si>
    <t xml:space="preserve">Classes AA, A1, A(Light), B(Medium), C(Heavy)</t>
  </si>
  <si>
    <t xml:space="preserve">British Standard 1387-1985 / MS 863</t>
  </si>
  <si>
    <r>
      <rPr>
        <sz val="11"/>
        <color theme="1"/>
        <rFont val="Calibri"/>
        <family val="2"/>
        <charset val="1"/>
      </rPr>
      <t xml:space="preserve">MS Welded Pipe | Welded Steel Pipe (</t>
    </r>
    <r>
      <rPr>
        <sz val="11"/>
        <color theme="1"/>
        <rFont val="Noto Sans CJK SC"/>
        <family val="2"/>
      </rPr>
      <t xml:space="preserve">焊接鋼管</t>
    </r>
    <r>
      <rPr>
        <sz val="11"/>
        <color theme="1"/>
        <rFont val="Calibri"/>
        <family val="2"/>
        <charset val="1"/>
      </rPr>
      <t xml:space="preserve">) | Classes AA, A1, A(Light), B(Medium), C(Heavy) | British Standard 1387-1985 / MS 863</t>
    </r>
  </si>
  <si>
    <r>
      <rPr>
        <sz val="11"/>
        <color theme="1"/>
        <rFont val="Calibri"/>
        <family val="2"/>
        <charset val="1"/>
      </rPr>
      <t xml:space="preserve">Hot-Rolled Plates &amp; Sheets (</t>
    </r>
    <r>
      <rPr>
        <sz val="11"/>
        <color theme="1"/>
        <rFont val="Noto Sans CJK SC"/>
        <family val="2"/>
      </rPr>
      <t xml:space="preserve">鐵板</t>
    </r>
    <r>
      <rPr>
        <sz val="11"/>
        <color theme="1"/>
        <rFont val="Calibri"/>
        <family val="2"/>
        <charset val="1"/>
      </rPr>
      <t xml:space="preserve">)</t>
    </r>
  </si>
  <si>
    <t xml:space="preserve">Thickness × sheet size, Kg/pc &amp; pc/mt</t>
  </si>
  <si>
    <t xml:space="preserve">EN S275JR, A36, JIS SS400</t>
  </si>
  <si>
    <r>
      <rPr>
        <sz val="11"/>
        <color theme="1"/>
        <rFont val="Calibri"/>
        <family val="2"/>
        <charset val="1"/>
      </rPr>
      <t xml:space="preserve">MS HR Plates | Hot-Rolled Plates &amp; Sheets (</t>
    </r>
    <r>
      <rPr>
        <sz val="11"/>
        <color theme="1"/>
        <rFont val="Noto Sans CJK SC"/>
        <family val="2"/>
      </rPr>
      <t xml:space="preserve">鐵板</t>
    </r>
    <r>
      <rPr>
        <sz val="11"/>
        <color theme="1"/>
        <rFont val="Calibri"/>
        <family val="2"/>
        <charset val="1"/>
      </rPr>
      <t xml:space="preserve">) | Thickness × sheet size, Kg/pc &amp; pc/mt | EN S275JR, A36, JIS SS400</t>
    </r>
  </si>
  <si>
    <r>
      <rPr>
        <sz val="11"/>
        <color theme="1"/>
        <rFont val="Calibri"/>
        <family val="2"/>
        <charset val="1"/>
      </rPr>
      <t xml:space="preserve">Chequered Plates (</t>
    </r>
    <r>
      <rPr>
        <sz val="11"/>
        <color theme="1"/>
        <rFont val="Noto Sans CJK SC"/>
        <family val="2"/>
      </rPr>
      <t xml:space="preserve">花紋板</t>
    </r>
    <r>
      <rPr>
        <sz val="11"/>
        <color theme="1"/>
        <rFont val="Calibri"/>
        <family val="2"/>
        <charset val="1"/>
      </rPr>
      <t xml:space="preserve">)</t>
    </r>
  </si>
  <si>
    <t xml:space="preserve">Tread plate — thickness × sheet size, Kg/pc</t>
  </si>
  <si>
    <r>
      <rPr>
        <sz val="11"/>
        <color theme="1"/>
        <rFont val="Calibri"/>
        <family val="2"/>
        <charset val="1"/>
      </rPr>
      <t xml:space="preserve">MS Chequered Plate | Chequered Plates (</t>
    </r>
    <r>
      <rPr>
        <sz val="11"/>
        <color theme="1"/>
        <rFont val="Noto Sans CJK SC"/>
        <family val="2"/>
      </rPr>
      <t xml:space="preserve">花紋板</t>
    </r>
    <r>
      <rPr>
        <sz val="11"/>
        <color theme="1"/>
        <rFont val="Calibri"/>
        <family val="2"/>
        <charset val="1"/>
      </rPr>
      <t xml:space="preserve">) | Tread plate — thickness × sheet size, Kg/pc | EN S275JR, A36, JIS SS400</t>
    </r>
  </si>
  <si>
    <r>
      <rPr>
        <sz val="11"/>
        <color theme="1"/>
        <rFont val="Calibri"/>
        <family val="2"/>
        <charset val="1"/>
      </rPr>
      <t xml:space="preserve">Square Hollow Sections (</t>
    </r>
    <r>
      <rPr>
        <sz val="11"/>
        <color theme="1"/>
        <rFont val="Noto Sans CJK SC"/>
        <family val="2"/>
      </rPr>
      <t xml:space="preserve">四方管</t>
    </r>
    <r>
      <rPr>
        <sz val="11"/>
        <color theme="1"/>
        <rFont val="Calibri"/>
        <family val="2"/>
        <charset val="1"/>
      </rPr>
      <t xml:space="preserve">)</t>
    </r>
  </si>
  <si>
    <t xml:space="preserve">Nominal size, wall thickness, Kg/m &amp; Kg/6m</t>
  </si>
  <si>
    <r>
      <rPr>
        <sz val="11"/>
        <color theme="1"/>
        <rFont val="Calibri"/>
        <family val="2"/>
        <charset val="1"/>
      </rPr>
      <t xml:space="preserve">MS SHS | Square Hollow Sections (</t>
    </r>
    <r>
      <rPr>
        <sz val="11"/>
        <color theme="1"/>
        <rFont val="Noto Sans CJK SC"/>
        <family val="2"/>
      </rPr>
      <t xml:space="preserve">四方管</t>
    </r>
    <r>
      <rPr>
        <sz val="11"/>
        <color theme="1"/>
        <rFont val="Calibri"/>
        <family val="2"/>
        <charset val="1"/>
      </rPr>
      <t xml:space="preserve">) | Nominal size, wall thickness, Kg/m &amp; Kg/6m | EN S275JR, ASTM A36, JIS SS400</t>
    </r>
  </si>
  <si>
    <r>
      <rPr>
        <sz val="11"/>
        <color theme="1"/>
        <rFont val="Calibri"/>
        <family val="2"/>
        <charset val="1"/>
      </rPr>
      <t xml:space="preserve">Rectangular Hollow Sections (</t>
    </r>
    <r>
      <rPr>
        <sz val="11"/>
        <color theme="1"/>
        <rFont val="Noto Sans CJK SC"/>
        <family val="2"/>
      </rPr>
      <t xml:space="preserve">扁管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</si>
  <si>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MS RHS | Rectangular Hollow Sections (</t>
    </r>
    <r>
      <rPr>
        <sz val="11"/>
        <color theme="1"/>
        <rFont val="Noto Sans CJK SC"/>
        <family val="2"/>
      </rPr>
      <t xml:space="preserve">扁管</t>
    </r>
    <r>
      <rPr>
        <sz val="11"/>
        <color theme="1"/>
        <rFont val="Calibri"/>
        <family val="2"/>
        <charset val="1"/>
      </rPr>
      <t xml:space="preserve">) | Nominal size, wall thickness, Kg/m &amp; Kg/6m | EN S275JR, ASTM A36, JIS SS400</t>
    </r>
  </si>
  <si>
    <t xml:space="preserve">Square / Round / Hex Bar</t>
  </si>
  <si>
    <t xml:space="preserve">Square bar, Round bar, Hexagonal bar, Cold-drawn rod</t>
  </si>
  <si>
    <t xml:space="preserve">MS Bar Sections | Square / Round / Hex Bar | Square bar, Round bar, Hexagonal bar, Cold-drawn rod | EN S275JR, S335JR, ASTM A36</t>
  </si>
  <si>
    <r>
      <rPr>
        <sz val="11"/>
        <color theme="1"/>
        <rFont val="Calibri"/>
        <family val="2"/>
        <charset val="1"/>
      </rPr>
      <t xml:space="preserve">Channel (</t>
    </r>
    <r>
      <rPr>
        <sz val="11"/>
        <color theme="1"/>
        <rFont val="Noto Sans CJK SC"/>
        <family val="2"/>
      </rPr>
      <t xml:space="preserve">槽鐵</t>
    </r>
    <r>
      <rPr>
        <sz val="11"/>
        <color theme="1"/>
        <rFont val="Calibri"/>
        <family val="2"/>
        <charset val="1"/>
      </rPr>
      <t xml:space="preserve">) &amp; Deformed Bar</t>
    </r>
  </si>
  <si>
    <t xml:space="preserve">Hot-rolled channel + deformed rebar section &amp; weight</t>
  </si>
  <si>
    <r>
      <rPr>
        <sz val="11"/>
        <color theme="1"/>
        <rFont val="Calibri"/>
        <family val="2"/>
        <charset val="1"/>
      </rPr>
      <t xml:space="preserve">MS Channel &amp; Rebar | Channel (</t>
    </r>
    <r>
      <rPr>
        <sz val="11"/>
        <color theme="1"/>
        <rFont val="Noto Sans CJK SC"/>
        <family val="2"/>
      </rPr>
      <t xml:space="preserve">槽鐵</t>
    </r>
    <r>
      <rPr>
        <sz val="11"/>
        <color theme="1"/>
        <rFont val="Calibri"/>
        <family val="2"/>
        <charset val="1"/>
      </rPr>
      <t xml:space="preserve">) &amp; Deformed Bar | Hot-rolled channel + deformed rebar section &amp; weight | EN S275JR, S335JR, ASTM A36</t>
    </r>
  </si>
  <si>
    <r>
      <rPr>
        <sz val="11"/>
        <color theme="1"/>
        <rFont val="Calibri"/>
        <family val="2"/>
        <charset val="1"/>
      </rPr>
      <t xml:space="preserve">Wide Flange Shapes &amp; Tee Bar (</t>
    </r>
    <r>
      <rPr>
        <sz val="11"/>
        <color theme="1"/>
        <rFont val="Noto Sans CJK SC"/>
        <family val="2"/>
      </rPr>
      <t xml:space="preserve">工字鐵</t>
    </r>
    <r>
      <rPr>
        <sz val="11"/>
        <color theme="1"/>
        <rFont val="Calibri"/>
        <family val="2"/>
        <charset val="1"/>
      </rPr>
      <t xml:space="preserve">)</t>
    </r>
  </si>
  <si>
    <t xml:space="preserve">Universal beams, H-piling, rolled joists, Tee bar</t>
  </si>
  <si>
    <t xml:space="preserve">ASTM A36, JIS SS400</t>
  </si>
  <si>
    <r>
      <rPr>
        <sz val="11"/>
        <color theme="1"/>
        <rFont val="Calibri"/>
        <family val="2"/>
        <charset val="1"/>
      </rPr>
      <t xml:space="preserve">MS Wide Flange | Wide Flange Shapes &amp; Tee Bar (</t>
    </r>
    <r>
      <rPr>
        <sz val="11"/>
        <color theme="1"/>
        <rFont val="Noto Sans CJK SC"/>
        <family val="2"/>
      </rPr>
      <t xml:space="preserve">工字鐵</t>
    </r>
    <r>
      <rPr>
        <sz val="11"/>
        <color theme="1"/>
        <rFont val="Calibri"/>
        <family val="2"/>
        <charset val="1"/>
      </rPr>
      <t xml:space="preserve">) | Universal beams, H-piling, rolled joists, Tee bar | ASTM A36, JIS SS400</t>
    </r>
  </si>
  <si>
    <r>
      <rPr>
        <sz val="11"/>
        <color theme="1"/>
        <rFont val="Calibri"/>
        <family val="2"/>
        <charset val="1"/>
      </rPr>
      <t xml:space="preserve">Galvanized &amp; Electro-Galv Sheets (</t>
    </r>
    <r>
      <rPr>
        <sz val="11"/>
        <color theme="1"/>
        <rFont val="Noto Sans CJK SC"/>
        <family val="2"/>
      </rPr>
      <t xml:space="preserve">砂喱板</t>
    </r>
    <r>
      <rPr>
        <sz val="11"/>
        <color theme="1"/>
        <rFont val="Calibri"/>
        <family val="2"/>
        <charset val="1"/>
      </rPr>
      <t xml:space="preserve">)</t>
    </r>
  </si>
  <si>
    <t xml:space="preserve">JIS G3302 SGCC/SGHC + electro-galv gauge table</t>
  </si>
  <si>
    <t xml:space="preserve">JIS G3302-1987</t>
  </si>
  <si>
    <r>
      <rPr>
        <sz val="11"/>
        <color theme="1"/>
        <rFont val="Calibri"/>
        <family val="2"/>
        <charset val="1"/>
      </rPr>
      <t xml:space="preserve">MS Galv Sheets | Galvanized &amp; Electro-Galv Sheets (</t>
    </r>
    <r>
      <rPr>
        <sz val="11"/>
        <color theme="1"/>
        <rFont val="Noto Sans CJK SC"/>
        <family val="2"/>
      </rPr>
      <t xml:space="preserve">砂喱板</t>
    </r>
    <r>
      <rPr>
        <sz val="11"/>
        <color theme="1"/>
        <rFont val="Calibri"/>
        <family val="2"/>
        <charset val="1"/>
      </rPr>
      <t xml:space="preserve">) | JIS G3302 SGCC/SGHC + electro-galv gauge table | JIS G3302-1987</t>
    </r>
  </si>
  <si>
    <t xml:space="preserve">Source: Jin Yuan Fa Hardware Industries Pte Ltd — Metal Product Catalogue  |  Extracted: 09 Apr 2026</t>
  </si>
  <si>
    <r>
      <rPr>
        <sz val="11"/>
        <color theme="1"/>
        <rFont val="Calibri"/>
        <family val="2"/>
        <charset val="1"/>
      </rPr>
      <t xml:space="preserve">Shipbuild Flat </t>
    </r>
    <r>
      <rPr>
        <sz val="11"/>
        <color theme="1"/>
        <rFont val="Noto Sans CJK SC"/>
        <family val="2"/>
      </rPr>
      <t xml:space="preserve">扁鐵 — </t>
    </r>
    <r>
      <rPr>
        <sz val="11"/>
        <color theme="1"/>
        <rFont val="Calibri"/>
        <family val="2"/>
        <charset val="1"/>
      </rPr>
      <t xml:space="preserve">Unit Weight Table</t>
    </r>
  </si>
  <si>
    <t xml:space="preserve">Flat bar sections (Thickness × Width)  |  Jin Yuan Fa Hardware Industries Pte Ltd</t>
  </si>
  <si>
    <t xml:space="preserve">Section Size vs Unit Weight</t>
  </si>
  <si>
    <t xml:space="preserve">Section Size
(Thickness × Width)</t>
  </si>
  <si>
    <t xml:space="preserve">Unit Weight
(Kg/m)</t>
  </si>
  <si>
    <t xml:space="preserve">Unit Weight
(Kg/6m)</t>
  </si>
  <si>
    <t xml:space="preserve">Section Size
(Thickness × Width) | Unit Weight
(Kg/m) | Unit Weight
(Kg/6m)</t>
  </si>
  <si>
    <t xml:space="preserve">3mm x 12mm</t>
  </si>
  <si>
    <t xml:space="preserve">0.283</t>
  </si>
  <si>
    <t xml:space="preserve">1.698</t>
  </si>
  <si>
    <t xml:space="preserve">3mm x 12mm | 0.283 | 1.698</t>
  </si>
  <si>
    <t xml:space="preserve">3mm x 13mm</t>
  </si>
  <si>
    <t xml:space="preserve">0.306</t>
  </si>
  <si>
    <t xml:space="preserve">1.836</t>
  </si>
  <si>
    <t xml:space="preserve">3mm x 13mm | 0.306 | 1.836</t>
  </si>
  <si>
    <t xml:space="preserve">3mm x 16mm</t>
  </si>
  <si>
    <t xml:space="preserve">0.377</t>
  </si>
  <si>
    <t xml:space="preserve">2.262</t>
  </si>
  <si>
    <t xml:space="preserve">3mm x 16mm | 0.377 | 2.262</t>
  </si>
  <si>
    <t xml:space="preserve">3mm x 18mm</t>
  </si>
  <si>
    <t xml:space="preserve">0.424</t>
  </si>
  <si>
    <t xml:space="preserve">2.544</t>
  </si>
  <si>
    <t xml:space="preserve">3mm x 18mm | 0.424 | 2.544</t>
  </si>
  <si>
    <t xml:space="preserve">3mm x 19mm</t>
  </si>
  <si>
    <t xml:space="preserve">0.447</t>
  </si>
  <si>
    <t xml:space="preserve">2.682</t>
  </si>
  <si>
    <t xml:space="preserve">3mm x 19mm | 0.447 | 2.682</t>
  </si>
  <si>
    <t xml:space="preserve">3mm x 25mm</t>
  </si>
  <si>
    <t xml:space="preserve">0.589</t>
  </si>
  <si>
    <t xml:space="preserve">3.534</t>
  </si>
  <si>
    <t xml:space="preserve">3mm x 25mm | 0.589 | 3.534</t>
  </si>
  <si>
    <t xml:space="preserve">3mm x 30mm</t>
  </si>
  <si>
    <t xml:space="preserve">0.71</t>
  </si>
  <si>
    <t xml:space="preserve">4.26</t>
  </si>
  <si>
    <t xml:space="preserve">3mm x 30mm | 0.71 | 4.26</t>
  </si>
  <si>
    <t xml:space="preserve">3mm x 32mm</t>
  </si>
  <si>
    <t xml:space="preserve">0.754</t>
  </si>
  <si>
    <t xml:space="preserve">4.524</t>
  </si>
  <si>
    <t xml:space="preserve">3mm x 32mm | 0.754 | 4.524</t>
  </si>
  <si>
    <t xml:space="preserve">3mm x 38mm</t>
  </si>
  <si>
    <t xml:space="preserve">0.895</t>
  </si>
  <si>
    <t xml:space="preserve">5.37</t>
  </si>
  <si>
    <t xml:space="preserve">3mm x 38mm | 0.895 | 5.37</t>
  </si>
  <si>
    <t xml:space="preserve">3mm x 44mm</t>
  </si>
  <si>
    <t xml:space="preserve">1.04</t>
  </si>
  <si>
    <t xml:space="preserve">6.24</t>
  </si>
  <si>
    <t xml:space="preserve">3mm x 44mm | 1.04 | 6.24</t>
  </si>
  <si>
    <t xml:space="preserve">3mm x 50mm</t>
  </si>
  <si>
    <t xml:space="preserve">1.18</t>
  </si>
  <si>
    <t xml:space="preserve">7.08</t>
  </si>
  <si>
    <t xml:space="preserve">3mm x 50mm | 1.18 | 7.08</t>
  </si>
  <si>
    <t xml:space="preserve">3mm x 65mm</t>
  </si>
  <si>
    <t xml:space="preserve">1.53</t>
  </si>
  <si>
    <t xml:space="preserve">9.18</t>
  </si>
  <si>
    <t xml:space="preserve">3mm x 65mm | 1.53 | 9.18</t>
  </si>
  <si>
    <t xml:space="preserve">3mm x 75mm</t>
  </si>
  <si>
    <t xml:space="preserve">1.766</t>
  </si>
  <si>
    <t xml:space="preserve">10.596</t>
  </si>
  <si>
    <t xml:space="preserve">3mm x 75mm | 1.766 | 10.596</t>
  </si>
  <si>
    <t xml:space="preserve">3mm x 100mm</t>
  </si>
  <si>
    <t xml:space="preserve">2.355</t>
  </si>
  <si>
    <t xml:space="preserve">14.13</t>
  </si>
  <si>
    <t xml:space="preserve">3mm x 100mm | 2.355 | 14.13</t>
  </si>
  <si>
    <t xml:space="preserve">4mm x 12mm</t>
  </si>
  <si>
    <t xml:space="preserve">4mm x 12mm | 0.377 | 2.262</t>
  </si>
  <si>
    <t xml:space="preserve">4mm x 15mm</t>
  </si>
  <si>
    <t xml:space="preserve">0.471</t>
  </si>
  <si>
    <t xml:space="preserve">2.826</t>
  </si>
  <si>
    <t xml:space="preserve">4mm x 15mm | 0.471 | 2.826</t>
  </si>
  <si>
    <t xml:space="preserve">4mm x 18mm</t>
  </si>
  <si>
    <t xml:space="preserve">0.565</t>
  </si>
  <si>
    <t xml:space="preserve">3.39</t>
  </si>
  <si>
    <t xml:space="preserve">4mm x 18mm | 0.565 | 3.39</t>
  </si>
  <si>
    <t xml:space="preserve">4mm x 19mm</t>
  </si>
  <si>
    <t xml:space="preserve">0.597</t>
  </si>
  <si>
    <t xml:space="preserve">3.582</t>
  </si>
  <si>
    <t xml:space="preserve">4mm x 19mm | 0.597 | 3.582</t>
  </si>
  <si>
    <t xml:space="preserve">4mm x 25mm</t>
  </si>
  <si>
    <t xml:space="preserve">0.785</t>
  </si>
  <si>
    <t xml:space="preserve">4.71</t>
  </si>
  <si>
    <t xml:space="preserve">4mm x 25mm | 0.785 | 4.71</t>
  </si>
  <si>
    <t xml:space="preserve">4mm x 30mm</t>
  </si>
  <si>
    <t xml:space="preserve">0.947</t>
  </si>
  <si>
    <t xml:space="preserve">5.682</t>
  </si>
  <si>
    <t xml:space="preserve">4mm x 30mm | 0.947 | 5.682</t>
  </si>
  <si>
    <t xml:space="preserve">4.5mm x 12mm</t>
  </si>
  <si>
    <t xml:space="preserve">4.5mm x 12mm | 0.424 | 2.544</t>
  </si>
  <si>
    <t xml:space="preserve">4.5mm x 13mm</t>
  </si>
  <si>
    <t xml:space="preserve">0.459</t>
  </si>
  <si>
    <t xml:space="preserve">2.754</t>
  </si>
  <si>
    <t xml:space="preserve">4.5mm x 13mm | 0.459 | 2.754</t>
  </si>
  <si>
    <t xml:space="preserve">4.5mm x 15mm</t>
  </si>
  <si>
    <t xml:space="preserve">3.18</t>
  </si>
  <si>
    <t xml:space="preserve">4.5mm x 15mm | 0.53 | 3.18</t>
  </si>
  <si>
    <t xml:space="preserve">4.5mm x 16mm</t>
  </si>
  <si>
    <t xml:space="preserve">4.5mm x 16mm | 0.565 | 3.39</t>
  </si>
  <si>
    <t xml:space="preserve">4.5mm x 18mm</t>
  </si>
  <si>
    <t xml:space="preserve">0.636</t>
  </si>
  <si>
    <t xml:space="preserve">3.816</t>
  </si>
  <si>
    <t xml:space="preserve">4.5mm x 18mm | 0.636 | 3.816</t>
  </si>
  <si>
    <t xml:space="preserve">4.5mm x 19mm</t>
  </si>
  <si>
    <t xml:space="preserve">0.67</t>
  </si>
  <si>
    <t xml:space="preserve">4.02</t>
  </si>
  <si>
    <t xml:space="preserve">4.5mm x 19mm | 0.67 | 4.02</t>
  </si>
  <si>
    <t xml:space="preserve">4.5mm x 25mm</t>
  </si>
  <si>
    <t xml:space="preserve">0.88</t>
  </si>
  <si>
    <t xml:space="preserve">5.28</t>
  </si>
  <si>
    <t xml:space="preserve">4.5mm x 25mm | 0.88 | 5.28</t>
  </si>
  <si>
    <t xml:space="preserve">4.5mm x 30mm</t>
  </si>
  <si>
    <t xml:space="preserve">1.06</t>
  </si>
  <si>
    <t xml:space="preserve">6.36</t>
  </si>
  <si>
    <t xml:space="preserve">4.5mm x 30mm | 1.06 | 6.36</t>
  </si>
  <si>
    <t xml:space="preserve">4.5mm x 32mm</t>
  </si>
  <si>
    <t xml:space="preserve">1.13</t>
  </si>
  <si>
    <t xml:space="preserve">6.78</t>
  </si>
  <si>
    <t xml:space="preserve">4.5mm x 32mm | 1.13 | 6.78</t>
  </si>
  <si>
    <t xml:space="preserve">4.5mm x 38mm</t>
  </si>
  <si>
    <t xml:space="preserve">1.34</t>
  </si>
  <si>
    <t xml:space="preserve">8.04</t>
  </si>
  <si>
    <t xml:space="preserve">4.5mm x 38mm | 1.34 | 8.04</t>
  </si>
  <si>
    <t xml:space="preserve">4.5mm x 44mm</t>
  </si>
  <si>
    <t xml:space="preserve">1.55</t>
  </si>
  <si>
    <t xml:space="preserve">9.3</t>
  </si>
  <si>
    <t xml:space="preserve">4.5mm x 44mm | 1.55 | 9.3</t>
  </si>
  <si>
    <t xml:space="preserve">4.5mm x 50mm</t>
  </si>
  <si>
    <t xml:space="preserve">1.77</t>
  </si>
  <si>
    <t xml:space="preserve">10.62</t>
  </si>
  <si>
    <t xml:space="preserve">4.5mm x 50mm | 1.77 | 10.62</t>
  </si>
  <si>
    <t xml:space="preserve">4.5mm x 65mm</t>
  </si>
  <si>
    <t xml:space="preserve">2.3</t>
  </si>
  <si>
    <t xml:space="preserve">13.8</t>
  </si>
  <si>
    <t xml:space="preserve">4.5mm x 65mm | 2.3 | 13.8</t>
  </si>
  <si>
    <t xml:space="preserve">4.5mm x 75mm</t>
  </si>
  <si>
    <t xml:space="preserve">2.6</t>
  </si>
  <si>
    <t xml:space="preserve">15.6</t>
  </si>
  <si>
    <t xml:space="preserve">4.5mm x 75mm | 2.6 | 15.6</t>
  </si>
  <si>
    <t xml:space="preserve">4.5mm x 100mm</t>
  </si>
  <si>
    <t xml:space="preserve">3.55</t>
  </si>
  <si>
    <t xml:space="preserve">21.3</t>
  </si>
  <si>
    <t xml:space="preserve">4.5mm x 100mm | 3.55 | 21.3</t>
  </si>
  <si>
    <t xml:space="preserve">5mm x 25mm</t>
  </si>
  <si>
    <t xml:space="preserve">0.981</t>
  </si>
  <si>
    <t xml:space="preserve">5.886</t>
  </si>
  <si>
    <t xml:space="preserve">5mm x 25mm | 0.981 | 5.886</t>
  </si>
  <si>
    <t xml:space="preserve">5mm x 32mm</t>
  </si>
  <si>
    <t xml:space="preserve">1.256</t>
  </si>
  <si>
    <t xml:space="preserve">7.536</t>
  </si>
  <si>
    <t xml:space="preserve">5mm x 32mm | 1.256 | 7.536</t>
  </si>
  <si>
    <t xml:space="preserve">5mm x 38mm</t>
  </si>
  <si>
    <t xml:space="preserve">1.492</t>
  </si>
  <si>
    <t xml:space="preserve">8.952</t>
  </si>
  <si>
    <t xml:space="preserve">5mm x 38mm | 1.492 | 8.952</t>
  </si>
  <si>
    <t xml:space="preserve">5mm x 50mm</t>
  </si>
  <si>
    <t xml:space="preserve">1.963</t>
  </si>
  <si>
    <t xml:space="preserve">11.778</t>
  </si>
  <si>
    <t xml:space="preserve">5mm x 50mm | 1.963 | 11.778</t>
  </si>
  <si>
    <t xml:space="preserve">5mm x 65mm</t>
  </si>
  <si>
    <t xml:space="preserve">2.551</t>
  </si>
  <si>
    <t xml:space="preserve">15.306</t>
  </si>
  <si>
    <t xml:space="preserve">5mm x 65mm | 2.551 | 15.306</t>
  </si>
  <si>
    <t xml:space="preserve">6mm x 12mm</t>
  </si>
  <si>
    <t xml:space="preserve">0.57</t>
  </si>
  <si>
    <t xml:space="preserve">3.42</t>
  </si>
  <si>
    <t xml:space="preserve">6mm x 12mm | 0.57 | 3.42</t>
  </si>
  <si>
    <t xml:space="preserve">6mm x 15mm</t>
  </si>
  <si>
    <t xml:space="preserve">0.707</t>
  </si>
  <si>
    <t xml:space="preserve">4.242</t>
  </si>
  <si>
    <t xml:space="preserve">6mm x 15mm | 0.707 | 4.242</t>
  </si>
  <si>
    <t xml:space="preserve">6mm x 16mm</t>
  </si>
  <si>
    <t xml:space="preserve">6mm x 16mm | 0.754 | 4.524</t>
  </si>
  <si>
    <t xml:space="preserve">6mm x 18mm</t>
  </si>
  <si>
    <t xml:space="preserve">0.848</t>
  </si>
  <si>
    <t xml:space="preserve">5.088</t>
  </si>
  <si>
    <t xml:space="preserve">6mm x 18mm | 0.848 | 5.088</t>
  </si>
  <si>
    <t xml:space="preserve">6mm x 19mm</t>
  </si>
  <si>
    <t xml:space="preserve">6mm x 19mm | 0.895 | 5.37</t>
  </si>
  <si>
    <t xml:space="preserve">6mm x 25mm</t>
  </si>
  <si>
    <t xml:space="preserve">6mm x 25mm | 1.13 | 6.78</t>
  </si>
  <si>
    <t xml:space="preserve">6mm x 30mm</t>
  </si>
  <si>
    <t xml:space="preserve">1.41</t>
  </si>
  <si>
    <t xml:space="preserve">8.46</t>
  </si>
  <si>
    <t xml:space="preserve">6mm x 30mm | 1.41 | 8.46</t>
  </si>
  <si>
    <t xml:space="preserve">6mm x 32mm</t>
  </si>
  <si>
    <t xml:space="preserve">1.51</t>
  </si>
  <si>
    <t xml:space="preserve">9.06</t>
  </si>
  <si>
    <t xml:space="preserve">6mm x 32mm | 1.51 | 9.06</t>
  </si>
  <si>
    <t xml:space="preserve">6mm x 38mm</t>
  </si>
  <si>
    <t xml:space="preserve">1.79</t>
  </si>
  <si>
    <t xml:space="preserve">10.74</t>
  </si>
  <si>
    <t xml:space="preserve">6mm x 38mm | 1.79 | 10.74</t>
  </si>
  <si>
    <t xml:space="preserve">6mm x 44mm</t>
  </si>
  <si>
    <t xml:space="preserve">2.07</t>
  </si>
  <si>
    <t xml:space="preserve">12.42</t>
  </si>
  <si>
    <t xml:space="preserve">6mm x 44mm | 2.07 | 12.42</t>
  </si>
  <si>
    <t xml:space="preserve">6mm x 50mm</t>
  </si>
  <si>
    <t xml:space="preserve">2.36</t>
  </si>
  <si>
    <t xml:space="preserve">14.16</t>
  </si>
  <si>
    <t xml:space="preserve">6mm x 50mm | 2.36 | 14.16</t>
  </si>
  <si>
    <t xml:space="preserve">6mm x 65mm</t>
  </si>
  <si>
    <t xml:space="preserve">3.06</t>
  </si>
  <si>
    <t xml:space="preserve">18.36</t>
  </si>
  <si>
    <t xml:space="preserve">6mm x 65mm | 3.06 | 18.36</t>
  </si>
  <si>
    <t xml:space="preserve">6mm x 75mm</t>
  </si>
  <si>
    <t xml:space="preserve">3.53</t>
  </si>
  <si>
    <t xml:space="preserve">21.18</t>
  </si>
  <si>
    <t xml:space="preserve">6mm x 75mm | 3.53 | 21.18</t>
  </si>
  <si>
    <t xml:space="preserve">6mm x 90mm</t>
  </si>
  <si>
    <t xml:space="preserve">4.24</t>
  </si>
  <si>
    <t xml:space="preserve">25.44</t>
  </si>
  <si>
    <t xml:space="preserve">6mm x 90mm | 4.24 | 25.44</t>
  </si>
  <si>
    <t xml:space="preserve">6mm x 100mm</t>
  </si>
  <si>
    <t xml:space="preserve">28.26</t>
  </si>
  <si>
    <t xml:space="preserve">6mm x 100mm | 4.71 | 28.26</t>
  </si>
  <si>
    <t xml:space="preserve">6mm x 125mm</t>
  </si>
  <si>
    <t xml:space="preserve">5.89</t>
  </si>
  <si>
    <t xml:space="preserve">35.34</t>
  </si>
  <si>
    <t xml:space="preserve">6mm x 125mm | 5.89 | 35.34</t>
  </si>
  <si>
    <t xml:space="preserve">6mm x 150mm</t>
  </si>
  <si>
    <t xml:space="preserve">7.05</t>
  </si>
  <si>
    <t xml:space="preserve">42.3</t>
  </si>
  <si>
    <t xml:space="preserve">6mm x 150mm | 7.05 | 42.3</t>
  </si>
  <si>
    <t xml:space="preserve">6mm x 200mm</t>
  </si>
  <si>
    <t xml:space="preserve">9.42</t>
  </si>
  <si>
    <t xml:space="preserve">56.52</t>
  </si>
  <si>
    <t xml:space="preserve">6mm x 200mm | 9.42 | 56.52</t>
  </si>
  <si>
    <t xml:space="preserve">6mm x 250mm</t>
  </si>
  <si>
    <t xml:space="preserve">11.78</t>
  </si>
  <si>
    <t xml:space="preserve">70.68</t>
  </si>
  <si>
    <t xml:space="preserve">6mm x 250mm | 11.78 | 70.68</t>
  </si>
  <si>
    <t xml:space="preserve">6mm x 300mm</t>
  </si>
  <si>
    <t xml:space="preserve">84.78</t>
  </si>
  <si>
    <t xml:space="preserve">6mm x 300mm | 14.13 | 84.78</t>
  </si>
  <si>
    <t xml:space="preserve">8mm x 25mm</t>
  </si>
  <si>
    <t xml:space="preserve">1.57</t>
  </si>
  <si>
    <t xml:space="preserve">8mm x 25mm | 1.57 | 9.42</t>
  </si>
  <si>
    <t xml:space="preserve">8mm x 30mm</t>
  </si>
  <si>
    <t xml:space="preserve">1.88</t>
  </si>
  <si>
    <t xml:space="preserve">11.28</t>
  </si>
  <si>
    <t xml:space="preserve">8mm x 30mm | 1.88 | 11.28</t>
  </si>
  <si>
    <t xml:space="preserve">8mm x 32mm</t>
  </si>
  <si>
    <t xml:space="preserve">2.01</t>
  </si>
  <si>
    <t xml:space="preserve">12.06</t>
  </si>
  <si>
    <t xml:space="preserve">8mm x 32mm | 2.01 | 12.06</t>
  </si>
  <si>
    <t xml:space="preserve">8mm x 38mm</t>
  </si>
  <si>
    <t xml:space="preserve">2.39</t>
  </si>
  <si>
    <t xml:space="preserve">14.34</t>
  </si>
  <si>
    <t xml:space="preserve">8mm x 38mm | 2.39 | 14.34</t>
  </si>
  <si>
    <t xml:space="preserve">8mm x 44mm</t>
  </si>
  <si>
    <t xml:space="preserve">2.76</t>
  </si>
  <si>
    <t xml:space="preserve">16.56</t>
  </si>
  <si>
    <t xml:space="preserve">8mm x 44mm | 2.76 | 16.56</t>
  </si>
  <si>
    <t xml:space="preserve">8mm x 50mm</t>
  </si>
  <si>
    <t xml:space="preserve">3.14</t>
  </si>
  <si>
    <t xml:space="preserve">18.84</t>
  </si>
  <si>
    <t xml:space="preserve">8mm x 50mm | 3.14 | 18.84</t>
  </si>
  <si>
    <t xml:space="preserve">8mm x 65mm</t>
  </si>
  <si>
    <t xml:space="preserve">5.65</t>
  </si>
  <si>
    <t xml:space="preserve">33.9</t>
  </si>
  <si>
    <t xml:space="preserve">8mm x 65mm | 5.65 | 33.9</t>
  </si>
  <si>
    <t xml:space="preserve">8mm x 75mm</t>
  </si>
  <si>
    <t xml:space="preserve">8mm x 75mm | 4.71 | 28.26</t>
  </si>
  <si>
    <t xml:space="preserve">8mm x 90mm</t>
  </si>
  <si>
    <t xml:space="preserve">8mm x 90mm | 5.65 | 33.9</t>
  </si>
  <si>
    <t xml:space="preserve">8mm x 100mm</t>
  </si>
  <si>
    <t xml:space="preserve">6.28</t>
  </si>
  <si>
    <t xml:space="preserve">37.68</t>
  </si>
  <si>
    <t xml:space="preserve">8mm x 100mm | 6.28 | 37.68</t>
  </si>
  <si>
    <t xml:space="preserve">8mm x 125mm</t>
  </si>
  <si>
    <t xml:space="preserve">7.85</t>
  </si>
  <si>
    <t xml:space="preserve">47.1</t>
  </si>
  <si>
    <t xml:space="preserve">8mm x 125mm | 7.85 | 47.1</t>
  </si>
  <si>
    <t xml:space="preserve">8mm x 150mm</t>
  </si>
  <si>
    <t xml:space="preserve">8mm x 150mm | 9.42 | 56.52</t>
  </si>
  <si>
    <t xml:space="preserve">9mm x 18mm</t>
  </si>
  <si>
    <t xml:space="preserve">1.272</t>
  </si>
  <si>
    <t xml:space="preserve">7.632</t>
  </si>
  <si>
    <t xml:space="preserve">9mm x 18mm | 1.272 | 7.632</t>
  </si>
  <si>
    <t xml:space="preserve">9mm x 19mm</t>
  </si>
  <si>
    <t xml:space="preserve">9mm x 19mm | 1.34 | 8.04</t>
  </si>
  <si>
    <t xml:space="preserve">9mm x 25mm</t>
  </si>
  <si>
    <t xml:space="preserve">9mm x 25mm | 1.77 | 10.62</t>
  </si>
  <si>
    <t xml:space="preserve">9mm x 30mm</t>
  </si>
  <si>
    <t xml:space="preserve">2.12</t>
  </si>
  <si>
    <t xml:space="preserve">12.72</t>
  </si>
  <si>
    <t xml:space="preserve">9mm x 30mm | 2.12 | 12.72</t>
  </si>
  <si>
    <t xml:space="preserve">9mm x 32mm</t>
  </si>
  <si>
    <t xml:space="preserve">2.26</t>
  </si>
  <si>
    <t xml:space="preserve">13.56</t>
  </si>
  <si>
    <t xml:space="preserve">9mm x 32mm | 2.26 | 13.56</t>
  </si>
  <si>
    <t xml:space="preserve">9mm x 35mm</t>
  </si>
  <si>
    <t xml:space="preserve">2.47</t>
  </si>
  <si>
    <t xml:space="preserve">14.82</t>
  </si>
  <si>
    <t xml:space="preserve">9mm x 35mm | 2.47 | 14.82</t>
  </si>
  <si>
    <t xml:space="preserve">9mm x 38mm</t>
  </si>
  <si>
    <t xml:space="preserve">2.68</t>
  </si>
  <si>
    <t xml:space="preserve">16.08</t>
  </si>
  <si>
    <t xml:space="preserve">9mm x 38mm | 2.68 | 16.08</t>
  </si>
  <si>
    <t xml:space="preserve">9mm x 44mm</t>
  </si>
  <si>
    <t xml:space="preserve">3.11</t>
  </si>
  <si>
    <t xml:space="preserve">18.66</t>
  </si>
  <si>
    <t xml:space="preserve">9mm x 44mm | 3.11 | 18.66</t>
  </si>
  <si>
    <t xml:space="preserve">9mm x 50mm</t>
  </si>
  <si>
    <t xml:space="preserve">9mm x 50mm | 3.53 | 21.18</t>
  </si>
  <si>
    <t xml:space="preserve">9mm x 65mm</t>
  </si>
  <si>
    <t xml:space="preserve">4.59</t>
  </si>
  <si>
    <t xml:space="preserve">27.54</t>
  </si>
  <si>
    <t xml:space="preserve">9mm x 65mm | 4.59 | 27.54</t>
  </si>
  <si>
    <t xml:space="preserve">9mm x 75mm</t>
  </si>
  <si>
    <t xml:space="preserve">5.3</t>
  </si>
  <si>
    <t xml:space="preserve">31.8</t>
  </si>
  <si>
    <t xml:space="preserve">9mm x 75mm | 5.3 | 31.8</t>
  </si>
  <si>
    <t xml:space="preserve">9mm x 90mm</t>
  </si>
  <si>
    <t xml:space="preserve">38.16</t>
  </si>
  <si>
    <t xml:space="preserve">9mm x 90mm | 6.36 | 38.16</t>
  </si>
  <si>
    <t xml:space="preserve">9mm x 100mm</t>
  </si>
  <si>
    <t xml:space="preserve">7.06</t>
  </si>
  <si>
    <t xml:space="preserve">42.36</t>
  </si>
  <si>
    <t xml:space="preserve">9mm x 100mm | 7.06 | 42.36</t>
  </si>
  <si>
    <t xml:space="preserve">9mm x 125mm</t>
  </si>
  <si>
    <t xml:space="preserve">8.83</t>
  </si>
  <si>
    <t xml:space="preserve">52.98</t>
  </si>
  <si>
    <t xml:space="preserve">9mm x 125mm | 8.83 | 52.98</t>
  </si>
  <si>
    <t xml:space="preserve">9mm x 150mm</t>
  </si>
  <si>
    <t xml:space="preserve">10.6</t>
  </si>
  <si>
    <t xml:space="preserve">63.6</t>
  </si>
  <si>
    <t xml:space="preserve">9mm x 150mm | 10.6 | 63.6</t>
  </si>
  <si>
    <t xml:space="preserve">9mm x 200mm</t>
  </si>
  <si>
    <t xml:space="preserve">14.1</t>
  </si>
  <si>
    <t xml:space="preserve">84.6</t>
  </si>
  <si>
    <t xml:space="preserve">9mm x 200mm | 14.1 | 84.6</t>
  </si>
  <si>
    <t xml:space="preserve">9mm x 250mm</t>
  </si>
  <si>
    <t xml:space="preserve">17.7</t>
  </si>
  <si>
    <t xml:space="preserve">106.2</t>
  </si>
  <si>
    <t xml:space="preserve">9mm x 250mm | 17.7 | 106.2</t>
  </si>
  <si>
    <t xml:space="preserve">9mm x 300mm</t>
  </si>
  <si>
    <t xml:space="preserve">21.2</t>
  </si>
  <si>
    <t xml:space="preserve">127.2</t>
  </si>
  <si>
    <t xml:space="preserve">9mm x 300mm | 21.2 | 127.2</t>
  </si>
  <si>
    <t xml:space="preserve">12mm x 25mm</t>
  </si>
  <si>
    <t xml:space="preserve">12mm x 25mm | 2.36 | 14.16</t>
  </si>
  <si>
    <t xml:space="preserve">12mm x 30mm</t>
  </si>
  <si>
    <t xml:space="preserve">16.956</t>
  </si>
  <si>
    <t xml:space="preserve">12mm x 30mm | 2.826 | 16.956</t>
  </si>
  <si>
    <t xml:space="preserve">12mm x 32mm</t>
  </si>
  <si>
    <t xml:space="preserve">3.01</t>
  </si>
  <si>
    <t xml:space="preserve">18.06</t>
  </si>
  <si>
    <t xml:space="preserve">12mm x 32mm | 3.01 | 18.06</t>
  </si>
  <si>
    <t xml:space="preserve">12mm x 35mm</t>
  </si>
  <si>
    <t xml:space="preserve">3.31</t>
  </si>
  <si>
    <t xml:space="preserve">19.86</t>
  </si>
  <si>
    <t xml:space="preserve">12mm x 35mm | 3.31 | 19.86</t>
  </si>
  <si>
    <t xml:space="preserve">12mm x 38mm</t>
  </si>
  <si>
    <t xml:space="preserve">3.58</t>
  </si>
  <si>
    <t xml:space="preserve">21.48</t>
  </si>
  <si>
    <t xml:space="preserve">12mm x 38mm | 3.58 | 21.48</t>
  </si>
  <si>
    <t xml:space="preserve">12mm x 44mm</t>
  </si>
  <si>
    <t xml:space="preserve">4.14</t>
  </si>
  <si>
    <t xml:space="preserve">24.84</t>
  </si>
  <si>
    <t xml:space="preserve">12mm x 44mm | 4.14 | 24.84</t>
  </si>
  <si>
    <t xml:space="preserve">12mm x 50mm</t>
  </si>
  <si>
    <t xml:space="preserve">12mm x 50mm | 4.71 | 28.26</t>
  </si>
  <si>
    <t xml:space="preserve">12mm x 65mm</t>
  </si>
  <si>
    <t xml:space="preserve">6.12</t>
  </si>
  <si>
    <t xml:space="preserve">36.72</t>
  </si>
  <si>
    <t xml:space="preserve">12mm x 65mm | 6.12 | 36.72</t>
  </si>
  <si>
    <t xml:space="preserve">12mm x 75mm</t>
  </si>
  <si>
    <t xml:space="preserve">12mm x 75mm | 7.06 | 42.36</t>
  </si>
  <si>
    <t xml:space="preserve">12mm x 90mm</t>
  </si>
  <si>
    <t xml:space="preserve">8.48</t>
  </si>
  <si>
    <t xml:space="preserve">50.88</t>
  </si>
  <si>
    <t xml:space="preserve">12mm x 90mm | 8.48 | 50.88</t>
  </si>
  <si>
    <t xml:space="preserve">12mm x 100mm</t>
  </si>
  <si>
    <t xml:space="preserve">12mm x 100mm | 9.42 | 56.52</t>
  </si>
  <si>
    <t xml:space="preserve">12mm x 125mm</t>
  </si>
  <si>
    <t xml:space="preserve">11.8</t>
  </si>
  <si>
    <t xml:space="preserve">70.8</t>
  </si>
  <si>
    <t xml:space="preserve">12mm x 125mm | 11.8 | 70.8</t>
  </si>
  <si>
    <t xml:space="preserve">12mm x 150mm</t>
  </si>
  <si>
    <t xml:space="preserve">12mm x 150mm | 14.1 | 84.6</t>
  </si>
  <si>
    <t xml:space="preserve">12mm x 200mm</t>
  </si>
  <si>
    <t xml:space="preserve">18.8</t>
  </si>
  <si>
    <t xml:space="preserve">112.8</t>
  </si>
  <si>
    <t xml:space="preserve">12mm x 200mm | 18.8 | 112.8</t>
  </si>
  <si>
    <t xml:space="preserve">12mm x 250mm</t>
  </si>
  <si>
    <t xml:space="preserve">23.6</t>
  </si>
  <si>
    <t xml:space="preserve">141.6</t>
  </si>
  <si>
    <t xml:space="preserve">12mm x 250mm | 23.6 | 141.6</t>
  </si>
  <si>
    <t xml:space="preserve">12mm x 300mm</t>
  </si>
  <si>
    <t xml:space="preserve">28.3</t>
  </si>
  <si>
    <t xml:space="preserve">169.8</t>
  </si>
  <si>
    <t xml:space="preserve">12mm x 300mm | 28.3 | 169.8</t>
  </si>
  <si>
    <t xml:space="preserve">16mm x 25mm</t>
  </si>
  <si>
    <t xml:space="preserve">16mm x 25mm | 3.14 | 18.84</t>
  </si>
  <si>
    <t xml:space="preserve">16mm x 32mm</t>
  </si>
  <si>
    <t xml:space="preserve">24.12</t>
  </si>
  <si>
    <t xml:space="preserve">16mm x 32mm | 4.02 | 24.12</t>
  </si>
  <si>
    <t xml:space="preserve">16mm x 38mm</t>
  </si>
  <si>
    <t xml:space="preserve">4.77</t>
  </si>
  <si>
    <t xml:space="preserve">28.62</t>
  </si>
  <si>
    <t xml:space="preserve">16mm x 38mm | 4.77 | 28.62</t>
  </si>
  <si>
    <t xml:space="preserve">16mm x 44mm</t>
  </si>
  <si>
    <t xml:space="preserve">5.53</t>
  </si>
  <si>
    <t xml:space="preserve">33.18</t>
  </si>
  <si>
    <t xml:space="preserve">16mm x 44mm | 5.53 | 33.18</t>
  </si>
  <si>
    <t xml:space="preserve">16mm x 50mm</t>
  </si>
  <si>
    <t xml:space="preserve">16mm x 50mm | 6.28 | 37.68</t>
  </si>
  <si>
    <t xml:space="preserve">16mm x 65mm</t>
  </si>
  <si>
    <t xml:space="preserve">8.16</t>
  </si>
  <si>
    <t xml:space="preserve">48.96</t>
  </si>
  <si>
    <t xml:space="preserve">16mm x 65mm | 8.16 | 48.96</t>
  </si>
  <si>
    <t xml:space="preserve">16mm x 75mm</t>
  </si>
  <si>
    <t xml:space="preserve">16mm x 75mm | 9.42 | 56.52</t>
  </si>
  <si>
    <t xml:space="preserve">16mm x 90mm</t>
  </si>
  <si>
    <t xml:space="preserve">11.3</t>
  </si>
  <si>
    <t xml:space="preserve">67.8</t>
  </si>
  <si>
    <t xml:space="preserve">16mm x 90mm | 11.3 | 67.8</t>
  </si>
  <si>
    <t xml:space="preserve">16mm x 100mm</t>
  </si>
  <si>
    <t xml:space="preserve">12.6</t>
  </si>
  <si>
    <t xml:space="preserve">75.6</t>
  </si>
  <si>
    <t xml:space="preserve">16mm x 100mm | 12.6 | 75.6</t>
  </si>
  <si>
    <t xml:space="preserve">16mm x 125mm</t>
  </si>
  <si>
    <t xml:space="preserve">15.7</t>
  </si>
  <si>
    <t xml:space="preserve">94.2</t>
  </si>
  <si>
    <t xml:space="preserve">16mm x 125mm | 15.7 | 94.2</t>
  </si>
  <si>
    <t xml:space="preserve">16mm x 150mm</t>
  </si>
  <si>
    <t xml:space="preserve">16mm x 150mm | 18.8 | 112.8</t>
  </si>
  <si>
    <t xml:space="preserve">16mm x 200mm</t>
  </si>
  <si>
    <t xml:space="preserve">25.1</t>
  </si>
  <si>
    <t xml:space="preserve">150.6</t>
  </si>
  <si>
    <t xml:space="preserve">16mm x 200mm | 25.1 | 150.6</t>
  </si>
  <si>
    <t xml:space="preserve">16mm x 250mm</t>
  </si>
  <si>
    <t xml:space="preserve">31.4</t>
  </si>
  <si>
    <t xml:space="preserve">188.4</t>
  </si>
  <si>
    <t xml:space="preserve">16mm x 250mm | 31.4 | 188.4</t>
  </si>
  <si>
    <t xml:space="preserve">16mm x 300mm</t>
  </si>
  <si>
    <t xml:space="preserve">37.7</t>
  </si>
  <si>
    <t xml:space="preserve">226.2</t>
  </si>
  <si>
    <t xml:space="preserve">16mm x 300mm | 37.7 | 226.2</t>
  </si>
  <si>
    <t xml:space="preserve">19mm x 32mm</t>
  </si>
  <si>
    <t xml:space="preserve">19mm x 32mm | 4.77 | 28.62</t>
  </si>
  <si>
    <t xml:space="preserve">19mm x 38mm</t>
  </si>
  <si>
    <t xml:space="preserve">5.67</t>
  </si>
  <si>
    <t xml:space="preserve">34.02</t>
  </si>
  <si>
    <t xml:space="preserve">19mm x 38mm | 5.67 | 34.02</t>
  </si>
  <si>
    <t xml:space="preserve">19mm x 44mm</t>
  </si>
  <si>
    <t xml:space="preserve">6.56</t>
  </si>
  <si>
    <t xml:space="preserve">39.36</t>
  </si>
  <si>
    <t xml:space="preserve">19mm x 44mm | 6.56 | 39.36</t>
  </si>
  <si>
    <t xml:space="preserve">19mm x 50mm</t>
  </si>
  <si>
    <t xml:space="preserve">7.46</t>
  </si>
  <si>
    <t xml:space="preserve">44.76</t>
  </si>
  <si>
    <t xml:space="preserve">19mm x 50mm | 7.46 | 44.76</t>
  </si>
  <si>
    <t xml:space="preserve">19mm x 65mm</t>
  </si>
  <si>
    <t xml:space="preserve">9.69</t>
  </si>
  <si>
    <t xml:space="preserve">58.14</t>
  </si>
  <si>
    <t xml:space="preserve">19mm x 65mm | 9.69 | 58.14</t>
  </si>
  <si>
    <t xml:space="preserve">19mm x 75mm</t>
  </si>
  <si>
    <t xml:space="preserve">11.2</t>
  </si>
  <si>
    <t xml:space="preserve">67.2</t>
  </si>
  <si>
    <t xml:space="preserve">19mm x 75mm | 11.2 | 67.2</t>
  </si>
  <si>
    <t xml:space="preserve">19mm x 90mm</t>
  </si>
  <si>
    <t xml:space="preserve">13.4</t>
  </si>
  <si>
    <t xml:space="preserve">80.4</t>
  </si>
  <si>
    <t xml:space="preserve">19mm x 90mm | 13.4 | 80.4</t>
  </si>
  <si>
    <t xml:space="preserve">19mm x 100mm</t>
  </si>
  <si>
    <t xml:space="preserve">14.9</t>
  </si>
  <si>
    <t xml:space="preserve">89.4</t>
  </si>
  <si>
    <t xml:space="preserve">19mm x 100mm | 14.9 | 89.4</t>
  </si>
  <si>
    <t xml:space="preserve">19mm x 125mm</t>
  </si>
  <si>
    <t xml:space="preserve">18.6</t>
  </si>
  <si>
    <t xml:space="preserve">111.6</t>
  </si>
  <si>
    <t xml:space="preserve">19mm x 125mm | 18.6 | 111.6</t>
  </si>
  <si>
    <t xml:space="preserve">19mm x 150mm</t>
  </si>
  <si>
    <t xml:space="preserve">22.4</t>
  </si>
  <si>
    <t xml:space="preserve">134.4</t>
  </si>
  <si>
    <t xml:space="preserve">19mm x 150mm | 22.4 | 134.4</t>
  </si>
  <si>
    <t xml:space="preserve">19mm x 200mm</t>
  </si>
  <si>
    <t xml:space="preserve">29.8</t>
  </si>
  <si>
    <t xml:space="preserve">178.8</t>
  </si>
  <si>
    <t xml:space="preserve">19mm x 200mm | 29.8 | 178.8</t>
  </si>
  <si>
    <t xml:space="preserve">19mm x 250mm</t>
  </si>
  <si>
    <t xml:space="preserve">37.3</t>
  </si>
  <si>
    <t xml:space="preserve">223.8</t>
  </si>
  <si>
    <t xml:space="preserve">19mm x 250mm | 37.3 | 223.8</t>
  </si>
  <si>
    <t xml:space="preserve">25mm x 50mm</t>
  </si>
  <si>
    <t xml:space="preserve">9.81</t>
  </si>
  <si>
    <t xml:space="preserve">58.86</t>
  </si>
  <si>
    <t xml:space="preserve">25mm x 50mm | 9.81 | 58.86</t>
  </si>
  <si>
    <t xml:space="preserve">25mm x 65mm</t>
  </si>
  <si>
    <t xml:space="preserve">12.8</t>
  </si>
  <si>
    <t xml:space="preserve">76.8</t>
  </si>
  <si>
    <t xml:space="preserve">25mm x 65mm | 12.8 | 76.8</t>
  </si>
  <si>
    <t xml:space="preserve">25mm x 75mm</t>
  </si>
  <si>
    <t xml:space="preserve">14.7</t>
  </si>
  <si>
    <t xml:space="preserve">88.2</t>
  </si>
  <si>
    <t xml:space="preserve">25mm x 75mm | 14.7 | 88.2</t>
  </si>
  <si>
    <t xml:space="preserve">25mm x 90mm</t>
  </si>
  <si>
    <t xml:space="preserve">25mm x 90mm | 17.7 | 106.2</t>
  </si>
  <si>
    <t xml:space="preserve">25mm x 100mm</t>
  </si>
  <si>
    <t xml:space="preserve">19.6</t>
  </si>
  <si>
    <t xml:space="preserve">117.6</t>
  </si>
  <si>
    <t xml:space="preserve">25mm x 100mm | 19.6 | 117.6</t>
  </si>
  <si>
    <t xml:space="preserve">25mm x 125mm</t>
  </si>
  <si>
    <t xml:space="preserve">24.5</t>
  </si>
  <si>
    <t xml:space="preserve">147</t>
  </si>
  <si>
    <t xml:space="preserve">25mm x 125mm | 24.5 | 147</t>
  </si>
  <si>
    <t xml:space="preserve">25mm x 150mm</t>
  </si>
  <si>
    <t xml:space="preserve">29.4</t>
  </si>
  <si>
    <t xml:space="preserve">176.4</t>
  </si>
  <si>
    <t xml:space="preserve">25mm x 150mm | 29.4 | 176.4</t>
  </si>
  <si>
    <t xml:space="preserve">25mm x 200mm</t>
  </si>
  <si>
    <t xml:space="preserve">39.2</t>
  </si>
  <si>
    <t xml:space="preserve">235.2</t>
  </si>
  <si>
    <t xml:space="preserve">25mm x 200mm | 39.2 | 235.2</t>
  </si>
  <si>
    <t xml:space="preserve">25mm x 250mm</t>
  </si>
  <si>
    <t xml:space="preserve">49.1</t>
  </si>
  <si>
    <t xml:space="preserve">294.6</t>
  </si>
  <si>
    <t xml:space="preserve">25mm x 250mm | 49.1 | 294.6</t>
  </si>
  <si>
    <t xml:space="preserve">25mm x 300mm</t>
  </si>
  <si>
    <t xml:space="preserve">58.9</t>
  </si>
  <si>
    <t xml:space="preserve">353.4</t>
  </si>
  <si>
    <t xml:space="preserve">25mm x 300mm | 58.9 | 353.4</t>
  </si>
  <si>
    <t xml:space="preserve">Thickness/Length Tolerance: ±5% ~ ±10%  |  Standard as: EN S275JR, S275JR-Cr, ASTM A36, A36 Cr, JIS SS400, SS400Cr</t>
  </si>
  <si>
    <r>
      <rPr>
        <sz val="11"/>
        <color theme="1"/>
        <rFont val="Calibri"/>
        <family val="2"/>
        <charset val="1"/>
      </rPr>
      <t xml:space="preserve">Equal Angles Bar </t>
    </r>
    <r>
      <rPr>
        <sz val="11"/>
        <color theme="1"/>
        <rFont val="Noto Sans CJK SC"/>
        <family val="2"/>
      </rPr>
      <t xml:space="preserve">角鐵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</si>
  <si>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Equal leg angle sections (H×B), all dimensions in mm  |  Jin Yuan Fa Hardware Industries Pte Ltd</t>
  </si>
  <si>
    <t xml:space="preserve">Size (H×B mm) — Thickness (mm) — Unit Weight</t>
  </si>
  <si>
    <t xml:space="preserve">Size H×B
(mm)</t>
  </si>
  <si>
    <t xml:space="preserve">Thickness
(mm)</t>
  </si>
  <si>
    <t xml:space="preserve">Unit Weight
(kg/m)</t>
  </si>
  <si>
    <t xml:space="preserve">Unit Weight
(kg/6m)</t>
  </si>
  <si>
    <t xml:space="preserve">Size H×B
(mm) | Thickness
(mm) | Unit Weight
(kg/m) | Unit Weight
(kg/6m)</t>
  </si>
  <si>
    <t xml:space="preserve">20x20</t>
  </si>
  <si>
    <t xml:space="preserve">2.5</t>
  </si>
  <si>
    <t xml:space="preserve">0.74</t>
  </si>
  <si>
    <t xml:space="preserve">4.44</t>
  </si>
  <si>
    <t xml:space="preserve">20x20 | 2.5 | 0.74 | 4.44</t>
  </si>
  <si>
    <t xml:space="preserve">0.885</t>
  </si>
  <si>
    <t xml:space="preserve">5.31</t>
  </si>
  <si>
    <t xml:space="preserve">20x20 | 3 | 0.885 | 5.31</t>
  </si>
  <si>
    <t xml:space="preserve">25x25</t>
  </si>
  <si>
    <t xml:space="preserve">0.946</t>
  </si>
  <si>
    <t xml:space="preserve">5.676</t>
  </si>
  <si>
    <t xml:space="preserve">25x25 | 2.5 | 0.946 | 5.676</t>
  </si>
  <si>
    <t xml:space="preserve">2.7</t>
  </si>
  <si>
    <t xml:space="preserve">1.03</t>
  </si>
  <si>
    <t xml:space="preserve">6.18</t>
  </si>
  <si>
    <t xml:space="preserve">25x25 | 2.7 | 1.03 | 6.18</t>
  </si>
  <si>
    <t xml:space="preserve">1.12</t>
  </si>
  <si>
    <t xml:space="preserve">6.72</t>
  </si>
  <si>
    <t xml:space="preserve">25x25 | 3 | 1.12 | 6.72</t>
  </si>
  <si>
    <t xml:space="preserve">4</t>
  </si>
  <si>
    <t xml:space="preserve">1.45</t>
  </si>
  <si>
    <t xml:space="preserve">8.7</t>
  </si>
  <si>
    <t xml:space="preserve">25x25 | 4 | 1.45 | 8.7</t>
  </si>
  <si>
    <t xml:space="preserve">5</t>
  </si>
  <si>
    <t xml:space="preserve">1.76</t>
  </si>
  <si>
    <t xml:space="preserve">10.56</t>
  </si>
  <si>
    <t xml:space="preserve">25x25 | 5 | 1.76 | 10.56</t>
  </si>
  <si>
    <t xml:space="preserve">6</t>
  </si>
  <si>
    <t xml:space="preserve">2.24</t>
  </si>
  <si>
    <t xml:space="preserve">13.44</t>
  </si>
  <si>
    <t xml:space="preserve">25x25 | 6 | 2.24 | 13.44</t>
  </si>
  <si>
    <t xml:space="preserve">30x30</t>
  </si>
  <si>
    <t xml:space="preserve">1.14</t>
  </si>
  <si>
    <t xml:space="preserve">6.84</t>
  </si>
  <si>
    <t xml:space="preserve">30x30 | 2.5 | 1.14 | 6.84</t>
  </si>
  <si>
    <t xml:space="preserve">1.25</t>
  </si>
  <si>
    <t xml:space="preserve">7.5</t>
  </si>
  <si>
    <t xml:space="preserve">30x30 | 2.7 | 1.25 | 7.5</t>
  </si>
  <si>
    <t xml:space="preserve">1.36</t>
  </si>
  <si>
    <t xml:space="preserve">30x30 | 3 | 1.36 | 8.16</t>
  </si>
  <si>
    <t xml:space="preserve">30x30 | 4 | 1.76 | 10.56</t>
  </si>
  <si>
    <t xml:space="preserve">2.16</t>
  </si>
  <si>
    <t xml:space="preserve">12.96</t>
  </si>
  <si>
    <t xml:space="preserve">30x30 | 5 | 2.16 | 12.96</t>
  </si>
  <si>
    <t xml:space="preserve">2.74</t>
  </si>
  <si>
    <t xml:space="preserve">16.44</t>
  </si>
  <si>
    <t xml:space="preserve">30x30 | 6 | 2.74 | 16.44</t>
  </si>
  <si>
    <t xml:space="preserve">38x38</t>
  </si>
  <si>
    <t xml:space="preserve">1.46</t>
  </si>
  <si>
    <t xml:space="preserve">8.76</t>
  </si>
  <si>
    <t xml:space="preserve">38x38 | 2.5 | 1.46 | 8.76</t>
  </si>
  <si>
    <t xml:space="preserve">1.6</t>
  </si>
  <si>
    <t xml:space="preserve">9.6</t>
  </si>
  <si>
    <t xml:space="preserve">38x38 | 2.7 | 1.6 | 9.6</t>
  </si>
  <si>
    <t xml:space="preserve">1.74</t>
  </si>
  <si>
    <t xml:space="preserve">10.44</t>
  </si>
  <si>
    <t xml:space="preserve">38x38 | 3 | 1.74 | 10.44</t>
  </si>
  <si>
    <t xml:space="preserve">3.7</t>
  </si>
  <si>
    <t xml:space="preserve">2.08</t>
  </si>
  <si>
    <t xml:space="preserve">12.48</t>
  </si>
  <si>
    <t xml:space="preserve">38x38 | 3.7 | 2.08 | 12.48</t>
  </si>
  <si>
    <t xml:space="preserve">38x38 | 4 | 2.26 | 13.56</t>
  </si>
  <si>
    <t xml:space="preserve">2.79</t>
  </si>
  <si>
    <t xml:space="preserve">16.74</t>
  </si>
  <si>
    <t xml:space="preserve">38x38 | 5 | 2.79 | 16.74</t>
  </si>
  <si>
    <t xml:space="preserve">3.5</t>
  </si>
  <si>
    <t xml:space="preserve">38x38 | 6 | 3.5 | 21</t>
  </si>
  <si>
    <t xml:space="preserve">40x40</t>
  </si>
  <si>
    <t xml:space="preserve">1.83</t>
  </si>
  <si>
    <t xml:space="preserve">10.98</t>
  </si>
  <si>
    <t xml:space="preserve">40x40 | 3 | 1.83 | 10.98</t>
  </si>
  <si>
    <t xml:space="preserve">2.2</t>
  </si>
  <si>
    <t xml:space="preserve">13.2</t>
  </si>
  <si>
    <t xml:space="preserve">40x40 | 3.7 | 2.2 | 13.2</t>
  </si>
  <si>
    <t xml:space="preserve">2.42</t>
  </si>
  <si>
    <t xml:space="preserve">14.56</t>
  </si>
  <si>
    <t xml:space="preserve">40x40 | 4 | 2.42 | 14.56</t>
  </si>
  <si>
    <t xml:space="preserve">2.95</t>
  </si>
  <si>
    <t xml:space="preserve">40x40 | 5 | 2.95 | 17.7</t>
  </si>
  <si>
    <t xml:space="preserve">3.52</t>
  </si>
  <si>
    <t xml:space="preserve">21.12</t>
  </si>
  <si>
    <t xml:space="preserve">40x40 | 6 | 3.52 | 21.12</t>
  </si>
  <si>
    <t xml:space="preserve">45x45</t>
  </si>
  <si>
    <t xml:space="preserve">2.06</t>
  </si>
  <si>
    <t xml:space="preserve">12.36</t>
  </si>
  <si>
    <t xml:space="preserve">45x45 | 3 | 2.06 | 12.36</t>
  </si>
  <si>
    <t xml:space="preserve">45x45 | 4 | 2.74 | 16.44</t>
  </si>
  <si>
    <t xml:space="preserve">3.38</t>
  </si>
  <si>
    <t xml:space="preserve">20.28</t>
  </si>
  <si>
    <t xml:space="preserve">45x45 | 5 | 3.38 | 20.28</t>
  </si>
  <si>
    <t xml:space="preserve">3.96</t>
  </si>
  <si>
    <t xml:space="preserve">23.76</t>
  </si>
  <si>
    <t xml:space="preserve">45x45 | 6 | 3.96 | 23.76</t>
  </si>
  <si>
    <t xml:space="preserve">8</t>
  </si>
  <si>
    <t xml:space="preserve">5.15</t>
  </si>
  <si>
    <t xml:space="preserve">30.9</t>
  </si>
  <si>
    <t xml:space="preserve">45x45 | 8 | 5.15 | 30.9</t>
  </si>
  <si>
    <t xml:space="preserve">50x50</t>
  </si>
  <si>
    <t xml:space="preserve">2.33</t>
  </si>
  <si>
    <t xml:space="preserve">13.98</t>
  </si>
  <si>
    <t xml:space="preserve">50x50 | 3 | 2.33 | 13.98</t>
  </si>
  <si>
    <t xml:space="preserve">2.82</t>
  </si>
  <si>
    <t xml:space="preserve">16.92</t>
  </si>
  <si>
    <t xml:space="preserve">50x50 | 3.7 | 2.82 | 16.92</t>
  </si>
  <si>
    <t xml:space="preserve">50x50 | 4 | 3.06 | 18.36</t>
  </si>
  <si>
    <t xml:space="preserve">3.77</t>
  </si>
  <si>
    <t xml:space="preserve">22.62</t>
  </si>
  <si>
    <t xml:space="preserve">50x50 | 5 | 3.77 | 22.62</t>
  </si>
  <si>
    <t xml:space="preserve">5.5</t>
  </si>
  <si>
    <t xml:space="preserve">4.08</t>
  </si>
  <si>
    <t xml:space="preserve">24.48</t>
  </si>
  <si>
    <t xml:space="preserve">50x50 | 5.5 | 4.08 | 24.48</t>
  </si>
  <si>
    <t xml:space="preserve">4.43</t>
  </si>
  <si>
    <t xml:space="preserve">26.58</t>
  </si>
  <si>
    <t xml:space="preserve">50x50 | 6 | 4.43 | 26.58</t>
  </si>
  <si>
    <t xml:space="preserve">5.78</t>
  </si>
  <si>
    <t xml:space="preserve">34.68</t>
  </si>
  <si>
    <t xml:space="preserve">50x50 | 8 | 5.78 | 34.68</t>
  </si>
  <si>
    <t xml:space="preserve">9</t>
  </si>
  <si>
    <t xml:space="preserve">6.99</t>
  </si>
  <si>
    <t xml:space="preserve">41.94</t>
  </si>
  <si>
    <t xml:space="preserve">50x50 | 9 | 6.99 | 41.94</t>
  </si>
  <si>
    <t xml:space="preserve">60x60</t>
  </si>
  <si>
    <t xml:space="preserve">3.68</t>
  </si>
  <si>
    <t xml:space="preserve">22.08</t>
  </si>
  <si>
    <t xml:space="preserve">60x60 | 4 | 3.68 | 22.08</t>
  </si>
  <si>
    <t xml:space="preserve">4.55</t>
  </si>
  <si>
    <t xml:space="preserve">27.3</t>
  </si>
  <si>
    <t xml:space="preserve">60x60 | 5 | 4.55 | 27.3</t>
  </si>
  <si>
    <t xml:space="preserve">5.42</t>
  </si>
  <si>
    <t xml:space="preserve">32.52</t>
  </si>
  <si>
    <t xml:space="preserve">60x60 | 6 | 5.42 | 32.52</t>
  </si>
  <si>
    <t xml:space="preserve">7</t>
  </si>
  <si>
    <t xml:space="preserve">6.21</t>
  </si>
  <si>
    <t xml:space="preserve">37.26</t>
  </si>
  <si>
    <t xml:space="preserve">60x60 | 7 | 6.21 | 37.26</t>
  </si>
  <si>
    <t xml:space="preserve">60x60 | 9 | 7.85 | 47.1</t>
  </si>
  <si>
    <t xml:space="preserve">63x63</t>
  </si>
  <si>
    <t xml:space="preserve">4.81</t>
  </si>
  <si>
    <t xml:space="preserve">28.86</t>
  </si>
  <si>
    <t xml:space="preserve">63x63 | 5 | 4.81 | 28.86</t>
  </si>
  <si>
    <t xml:space="preserve">5.72</t>
  </si>
  <si>
    <t xml:space="preserve">34.32</t>
  </si>
  <si>
    <t xml:space="preserve">63x63 | 6 | 5.72 | 34.32</t>
  </si>
  <si>
    <t xml:space="preserve">7.62</t>
  </si>
  <si>
    <t xml:space="preserve">45.72</t>
  </si>
  <si>
    <t xml:space="preserve">63x63 | 8 | 7.62 | 45.72</t>
  </si>
  <si>
    <t xml:space="preserve">65x65</t>
  </si>
  <si>
    <t xml:space="preserve">30</t>
  </si>
  <si>
    <t xml:space="preserve">65x65 | 5 | 5 | 30</t>
  </si>
  <si>
    <t xml:space="preserve">5.43</t>
  </si>
  <si>
    <t xml:space="preserve">32.58</t>
  </si>
  <si>
    <t xml:space="preserve">65x65 | 5.5 | 5.43 | 32.58</t>
  </si>
  <si>
    <t xml:space="preserve">5.91</t>
  </si>
  <si>
    <t xml:space="preserve">35.46</t>
  </si>
  <si>
    <t xml:space="preserve">65x65 | 6 | 5.91 | 35.46</t>
  </si>
  <si>
    <t xml:space="preserve">7.3</t>
  </si>
  <si>
    <t xml:space="preserve">65x65 | 7.3 | 7.05 | 42.3</t>
  </si>
  <si>
    <t xml:space="preserve">7.66</t>
  </si>
  <si>
    <t xml:space="preserve">45.96</t>
  </si>
  <si>
    <t xml:space="preserve">65x65 | 8 | 7.66 | 45.96</t>
  </si>
  <si>
    <t xml:space="preserve">8.62</t>
  </si>
  <si>
    <t xml:space="preserve">51.72</t>
  </si>
  <si>
    <t xml:space="preserve">65x65 | 9 | 8.62 | 51.72</t>
  </si>
  <si>
    <t xml:space="preserve">10</t>
  </si>
  <si>
    <t xml:space="preserve">65x65 | 10 | 9.42 | 56.52</t>
  </si>
  <si>
    <t xml:space="preserve">70x70</t>
  </si>
  <si>
    <t xml:space="preserve">32.22</t>
  </si>
  <si>
    <t xml:space="preserve">70x70 | 5 | 5.37 | 32.22</t>
  </si>
  <si>
    <t xml:space="preserve">6.38</t>
  </si>
  <si>
    <t xml:space="preserve">38.28</t>
  </si>
  <si>
    <t xml:space="preserve">70x70 | 6 | 6.38 | 38.28</t>
  </si>
  <si>
    <t xml:space="preserve">7.38</t>
  </si>
  <si>
    <t xml:space="preserve">44.28</t>
  </si>
  <si>
    <t xml:space="preserve">70x70 | 7 | 7.38 | 44.28</t>
  </si>
  <si>
    <t xml:space="preserve">8.29</t>
  </si>
  <si>
    <t xml:space="preserve">49.74</t>
  </si>
  <si>
    <t xml:space="preserve">70x70 | 8 | 8.29 | 49.74</t>
  </si>
  <si>
    <t xml:space="preserve">10.2</t>
  </si>
  <si>
    <t xml:space="preserve">61.2</t>
  </si>
  <si>
    <t xml:space="preserve">70x70 | 10 | 10.2 | 61.2</t>
  </si>
  <si>
    <t xml:space="preserve">75x75</t>
  </si>
  <si>
    <t xml:space="preserve">5.76</t>
  </si>
  <si>
    <t xml:space="preserve">34.56</t>
  </si>
  <si>
    <t xml:space="preserve">75x75 | 5 | 5.76 | 34.56</t>
  </si>
  <si>
    <t xml:space="preserve">6.3</t>
  </si>
  <si>
    <t xml:space="preserve">37.8</t>
  </si>
  <si>
    <t xml:space="preserve">75x75 | 5.5 | 6.3 | 37.8</t>
  </si>
  <si>
    <t xml:space="preserve">6.85</t>
  </si>
  <si>
    <t xml:space="preserve">41.1</t>
  </si>
  <si>
    <t xml:space="preserve">75x75 | 6 | 6.85 | 41.1</t>
  </si>
  <si>
    <t xml:space="preserve">7.81</t>
  </si>
  <si>
    <t xml:space="preserve">46.86</t>
  </si>
  <si>
    <t xml:space="preserve">75x75 | 7 | 7.81 | 46.86</t>
  </si>
  <si>
    <t xml:space="preserve">9.03</t>
  </si>
  <si>
    <t xml:space="preserve">54.18</t>
  </si>
  <si>
    <t xml:space="preserve">75x75 | 8 | 9.03 | 54.18</t>
  </si>
  <si>
    <t xml:space="preserve">8.2</t>
  </si>
  <si>
    <t xml:space="preserve">9.17</t>
  </si>
  <si>
    <t xml:space="preserve">55.02</t>
  </si>
  <si>
    <t xml:space="preserve">75x75 | 8.2 | 9.17 | 55.02</t>
  </si>
  <si>
    <t xml:space="preserve">9.96</t>
  </si>
  <si>
    <t xml:space="preserve">59.76</t>
  </si>
  <si>
    <t xml:space="preserve">75x75 | 9 | 9.96 | 59.76</t>
  </si>
  <si>
    <t xml:space="preserve">13</t>
  </si>
  <si>
    <t xml:space="preserve">78</t>
  </si>
  <si>
    <t xml:space="preserve">75x75 | 12 | 13 | 78</t>
  </si>
  <si>
    <t xml:space="preserve">80x80</t>
  </si>
  <si>
    <t xml:space="preserve">7.32</t>
  </si>
  <si>
    <t xml:space="preserve">43.92</t>
  </si>
  <si>
    <t xml:space="preserve">80x80 | 6 | 7.32 | 43.92</t>
  </si>
  <si>
    <t xml:space="preserve">9.66</t>
  </si>
  <si>
    <t xml:space="preserve">57.96</t>
  </si>
  <si>
    <t xml:space="preserve">80x80 | 8 | 9.66 | 57.96</t>
  </si>
  <si>
    <t xml:space="preserve">10.7</t>
  </si>
  <si>
    <t xml:space="preserve">64.2</t>
  </si>
  <si>
    <t xml:space="preserve">80x80 | 9 | 10.7 | 64.2</t>
  </si>
  <si>
    <t xml:space="preserve">13.9</t>
  </si>
  <si>
    <t xml:space="preserve">83.4</t>
  </si>
  <si>
    <t xml:space="preserve">80x80 | 12 | 13.9 | 83.4</t>
  </si>
  <si>
    <t xml:space="preserve">90x90</t>
  </si>
  <si>
    <t xml:space="preserve">8.28</t>
  </si>
  <si>
    <t xml:space="preserve">49.68</t>
  </si>
  <si>
    <t xml:space="preserve">90x90 | 6 | 8.28 | 49.68</t>
  </si>
  <si>
    <t xml:space="preserve">9.59</t>
  </si>
  <si>
    <t xml:space="preserve">57.54</t>
  </si>
  <si>
    <t xml:space="preserve">90x90 | 7 | 9.59 | 57.54</t>
  </si>
  <si>
    <t xml:space="preserve">10.9</t>
  </si>
  <si>
    <t xml:space="preserve">65.4</t>
  </si>
  <si>
    <t xml:space="preserve">90x90 | 8 | 10.9 | 65.4</t>
  </si>
  <si>
    <t xml:space="preserve">12.2</t>
  </si>
  <si>
    <t xml:space="preserve">73.2</t>
  </si>
  <si>
    <t xml:space="preserve">90x90 | 9 | 12.2 | 73.2</t>
  </si>
  <si>
    <t xml:space="preserve">13.3</t>
  </si>
  <si>
    <t xml:space="preserve">79.8</t>
  </si>
  <si>
    <t xml:space="preserve">90x90 | 10 | 13.3 | 79.8</t>
  </si>
  <si>
    <t xml:space="preserve">15.9</t>
  </si>
  <si>
    <t xml:space="preserve">95.4</t>
  </si>
  <si>
    <t xml:space="preserve">90x90 | 12 | 15.9 | 95.4</t>
  </si>
  <si>
    <t xml:space="preserve">102</t>
  </si>
  <si>
    <t xml:space="preserve">90x90 | 13 | 17 | 102</t>
  </si>
  <si>
    <t xml:space="preserve">100x100</t>
  </si>
  <si>
    <t xml:space="preserve">9.2</t>
  </si>
  <si>
    <t xml:space="preserve">55.2</t>
  </si>
  <si>
    <t xml:space="preserve">100x100 | 6 | 9.2 | 55.2</t>
  </si>
  <si>
    <t xml:space="preserve">100x100 | 7 | 10.7 | 64.2</t>
  </si>
  <si>
    <t xml:space="preserve">100x100 | 8 | 12.2 | 73.2</t>
  </si>
  <si>
    <t xml:space="preserve">13.5</t>
  </si>
  <si>
    <t xml:space="preserve">81</t>
  </si>
  <si>
    <t xml:space="preserve">100x100 | 9 | 13.5 | 81</t>
  </si>
  <si>
    <t xml:space="preserve">15</t>
  </si>
  <si>
    <t xml:space="preserve">90</t>
  </si>
  <si>
    <t xml:space="preserve">100x100 | 10 | 15 | 90</t>
  </si>
  <si>
    <t xml:space="preserve">17.8</t>
  </si>
  <si>
    <t xml:space="preserve">106.8</t>
  </si>
  <si>
    <t xml:space="preserve">100x100 | 12 | 17.8 | 106.8</t>
  </si>
  <si>
    <t xml:space="preserve">19.1</t>
  </si>
  <si>
    <t xml:space="preserve">114.6</t>
  </si>
  <si>
    <t xml:space="preserve">100x100 | 13 | 19.1 | 114.6</t>
  </si>
  <si>
    <t xml:space="preserve">21.9</t>
  </si>
  <si>
    <t xml:space="preserve">131.4</t>
  </si>
  <si>
    <t xml:space="preserve">100x100 | 15 | 21.9 | 131.4</t>
  </si>
  <si>
    <t xml:space="preserve">110x110</t>
  </si>
  <si>
    <t xml:space="preserve">110x110 | 8 | 13.4 | 80.4</t>
  </si>
  <si>
    <t xml:space="preserve">16.6</t>
  </si>
  <si>
    <t xml:space="preserve">99.6</t>
  </si>
  <si>
    <t xml:space="preserve">110x110 | 10 | 16.6 | 99.6</t>
  </si>
  <si>
    <t xml:space="preserve">19.9</t>
  </si>
  <si>
    <t xml:space="preserve">119.4</t>
  </si>
  <si>
    <t xml:space="preserve">110x110 | 12 | 19.9 | 119.4</t>
  </si>
  <si>
    <t xml:space="preserve">16</t>
  </si>
  <si>
    <t xml:space="preserve">26.6</t>
  </si>
  <si>
    <t xml:space="preserve">159.6</t>
  </si>
  <si>
    <t xml:space="preserve">110x110 | 16 | 26.6 | 159.6</t>
  </si>
  <si>
    <t xml:space="preserve">120x120</t>
  </si>
  <si>
    <t xml:space="preserve">120x120 | 8 | 14.7 | 88.2</t>
  </si>
  <si>
    <t xml:space="preserve">18.2</t>
  </si>
  <si>
    <t xml:space="preserve">109.2</t>
  </si>
  <si>
    <t xml:space="preserve">120x120 | 10 | 18.2 | 109.2</t>
  </si>
  <si>
    <t xml:space="preserve">21.6</t>
  </si>
  <si>
    <t xml:space="preserve">129.6</t>
  </si>
  <si>
    <t xml:space="preserve">120x120 | 12 | 21.6 | 129.6</t>
  </si>
  <si>
    <t xml:space="preserve">120x120 | 15 | 26.6 | 159.6</t>
  </si>
  <si>
    <t xml:space="preserve">125x125</t>
  </si>
  <si>
    <t xml:space="preserve">15.55</t>
  </si>
  <si>
    <t xml:space="preserve">93.3</t>
  </si>
  <si>
    <t xml:space="preserve">125x125 | 8 | 15.55 | 93.3</t>
  </si>
  <si>
    <t xml:space="preserve">17.2</t>
  </si>
  <si>
    <t xml:space="preserve">103.2</t>
  </si>
  <si>
    <t xml:space="preserve">125x125 | 9 | 17.2 | 103.2</t>
  </si>
  <si>
    <t xml:space="preserve">19.2</t>
  </si>
  <si>
    <t xml:space="preserve">115.2</t>
  </si>
  <si>
    <t xml:space="preserve">125x125 | 10 | 19.2 | 115.2</t>
  </si>
  <si>
    <t xml:space="preserve">22.7</t>
  </si>
  <si>
    <t xml:space="preserve">136.2</t>
  </si>
  <si>
    <t xml:space="preserve">125x125 | 12 | 22.7 | 136.2</t>
  </si>
  <si>
    <t xml:space="preserve">130x130</t>
  </si>
  <si>
    <t xml:space="preserve">130x130 | 8 | 15.9 | 95.4</t>
  </si>
  <si>
    <t xml:space="preserve">17.9</t>
  </si>
  <si>
    <t xml:space="preserve">107.4</t>
  </si>
  <si>
    <t xml:space="preserve">130x130 | 9 | 17.9 | 107.4</t>
  </si>
  <si>
    <t xml:space="preserve">19.7</t>
  </si>
  <si>
    <t xml:space="preserve">118.2</t>
  </si>
  <si>
    <t xml:space="preserve">130x130 | 10 | 19.7 | 118.2</t>
  </si>
  <si>
    <t xml:space="preserve">11</t>
  </si>
  <si>
    <t xml:space="preserve">21.5</t>
  </si>
  <si>
    <t xml:space="preserve">129</t>
  </si>
  <si>
    <t xml:space="preserve">130x130 | 11 | 21.5 | 129</t>
  </si>
  <si>
    <t xml:space="preserve">23.5</t>
  </si>
  <si>
    <t xml:space="preserve">141</t>
  </si>
  <si>
    <t xml:space="preserve">130x130 | 12 | 23.5 | 141</t>
  </si>
  <si>
    <t xml:space="preserve">28.8</t>
  </si>
  <si>
    <t xml:space="preserve">172.8</t>
  </si>
  <si>
    <t xml:space="preserve">130x130 | 15 | 28.8 | 172.8</t>
  </si>
  <si>
    <t xml:space="preserve">30.7</t>
  </si>
  <si>
    <t xml:space="preserve">184.2</t>
  </si>
  <si>
    <t xml:space="preserve">130x130 | 16 | 30.7 | 184.2</t>
  </si>
  <si>
    <t xml:space="preserve">150x150</t>
  </si>
  <si>
    <t xml:space="preserve">138</t>
  </si>
  <si>
    <t xml:space="preserve">150x150 | 10 | 23 | 138</t>
  </si>
  <si>
    <t xml:space="preserve">150x150 | 11 | 25.1 | 150.6</t>
  </si>
  <si>
    <t xml:space="preserve">163.8</t>
  </si>
  <si>
    <t xml:space="preserve">150x150 | 12 | 27.3 | 163.8</t>
  </si>
  <si>
    <t xml:space="preserve">33.6</t>
  </si>
  <si>
    <t xml:space="preserve">201.6</t>
  </si>
  <si>
    <t xml:space="preserve">150x150 | 15 | 33.6 | 201.6</t>
  </si>
  <si>
    <t xml:space="preserve">40.1</t>
  </si>
  <si>
    <t xml:space="preserve">240.6</t>
  </si>
  <si>
    <t xml:space="preserve">150x150 | 18 | 40.1 | 240.6</t>
  </si>
  <si>
    <t xml:space="preserve">41.9</t>
  </si>
  <si>
    <t xml:space="preserve">251.4</t>
  </si>
  <si>
    <t xml:space="preserve">150x150 | 19 | 41.9 | 251.4</t>
  </si>
  <si>
    <t xml:space="preserve">175x175</t>
  </si>
  <si>
    <t xml:space="preserve">190.8</t>
  </si>
  <si>
    <t xml:space="preserve">175x175 | 12 | 31.8 | 190.8</t>
  </si>
  <si>
    <t xml:space="preserve">39.4</t>
  </si>
  <si>
    <t xml:space="preserve">236.4</t>
  </si>
  <si>
    <t xml:space="preserve">175x175 | 15 | 39.4 | 236.4</t>
  </si>
  <si>
    <t xml:space="preserve">200x200</t>
  </si>
  <si>
    <t xml:space="preserve">36.2</t>
  </si>
  <si>
    <t xml:space="preserve">217.2</t>
  </si>
  <si>
    <t xml:space="preserve">200x200 | 12 | 36.2 | 217.2</t>
  </si>
  <si>
    <t xml:space="preserve">45.3</t>
  </si>
  <si>
    <t xml:space="preserve">271.8</t>
  </si>
  <si>
    <t xml:space="preserve">200x200 | 15 | 45.3 | 271.8</t>
  </si>
  <si>
    <t xml:space="preserve">48.5</t>
  </si>
  <si>
    <t xml:space="preserve">291</t>
  </si>
  <si>
    <t xml:space="preserve">200x200 | 16 | 48.5 | 291</t>
  </si>
  <si>
    <t xml:space="preserve">54.2</t>
  </si>
  <si>
    <t xml:space="preserve">325.2</t>
  </si>
  <si>
    <t xml:space="preserve">200x200 | 18 | 54.2 | 325.2</t>
  </si>
  <si>
    <t xml:space="preserve">59.9</t>
  </si>
  <si>
    <t xml:space="preserve">359.4</t>
  </si>
  <si>
    <t xml:space="preserve">200x200 | 20 | 59.9 | 359.4</t>
  </si>
  <si>
    <t xml:space="preserve">71.1</t>
  </si>
  <si>
    <t xml:space="preserve">426.6</t>
  </si>
  <si>
    <t xml:space="preserve">200x200 | 24 | 71.1 | 426.6</t>
  </si>
  <si>
    <t xml:space="preserve">25</t>
  </si>
  <si>
    <t xml:space="preserve">73.6</t>
  </si>
  <si>
    <t xml:space="preserve">441.6</t>
  </si>
  <si>
    <t xml:space="preserve">200x200 | 25 | 73.6 | 441.6</t>
  </si>
  <si>
    <t xml:space="preserve">29</t>
  </si>
  <si>
    <t xml:space="preserve">84.5</t>
  </si>
  <si>
    <t xml:space="preserve">507</t>
  </si>
  <si>
    <t xml:space="preserve">200x200 | 29 | 84.5 | 507</t>
  </si>
  <si>
    <t xml:space="preserve">250x250</t>
  </si>
  <si>
    <t xml:space="preserve">93.7</t>
  </si>
  <si>
    <t xml:space="preserve">562.2</t>
  </si>
  <si>
    <t xml:space="preserve">250x250 | 25 | 93.7 | 562.2</t>
  </si>
  <si>
    <t xml:space="preserve">28</t>
  </si>
  <si>
    <t xml:space="preserve">104</t>
  </si>
  <si>
    <t xml:space="preserve">624</t>
  </si>
  <si>
    <t xml:space="preserve">250x250 | 28 | 104 | 624</t>
  </si>
  <si>
    <t xml:space="preserve">118</t>
  </si>
  <si>
    <t xml:space="preserve">708</t>
  </si>
  <si>
    <t xml:space="preserve">250x250 | 32 | 118 | 708</t>
  </si>
  <si>
    <t xml:space="preserve">35</t>
  </si>
  <si>
    <t xml:space="preserve">128</t>
  </si>
  <si>
    <t xml:space="preserve">768</t>
  </si>
  <si>
    <t xml:space="preserve">250x250 | 35 | 128 | 768</t>
  </si>
  <si>
    <r>
      <rPr>
        <sz val="11"/>
        <color theme="1"/>
        <rFont val="Calibri"/>
        <family val="2"/>
        <charset val="1"/>
      </rPr>
      <t xml:space="preserve">Unequal Angle </t>
    </r>
    <r>
      <rPr>
        <sz val="11"/>
        <color theme="1"/>
        <rFont val="Noto Sans CJK SC"/>
        <family val="2"/>
      </rPr>
      <t xml:space="preserve">角鐵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</si>
  <si>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Unequal leg angles (H×B), all dimensions in mm  |  Jin Yuan Fa Hardware Industries Pte Ltd</t>
  </si>
  <si>
    <t xml:space="preserve">Dimensions H×B (mm) — Thickness T (mm) — Unit Weight</t>
  </si>
  <si>
    <t xml:space="preserve">H×B (mm)</t>
  </si>
  <si>
    <t xml:space="preserve">T (mm)</t>
  </si>
  <si>
    <t xml:space="preserve">Kg/m</t>
  </si>
  <si>
    <t xml:space="preserve">Kg/6m</t>
  </si>
  <si>
    <t xml:space="preserve">H×B (mm) | T (mm) | Kg/m | Kg/6m</t>
  </si>
  <si>
    <t xml:space="preserve">65x40</t>
  </si>
  <si>
    <t xml:space="preserve">4.72</t>
  </si>
  <si>
    <t xml:space="preserve">28.32</t>
  </si>
  <si>
    <t xml:space="preserve">65x40 | 6 | 4.72 | 28.32</t>
  </si>
  <si>
    <t xml:space="preserve">4.36</t>
  </si>
  <si>
    <t xml:space="preserve">26.16</t>
  </si>
  <si>
    <t xml:space="preserve">65x40 | 5 | 4.36 | 26.16</t>
  </si>
  <si>
    <t xml:space="preserve">65x50</t>
  </si>
  <si>
    <t xml:space="preserve">5.16</t>
  </si>
  <si>
    <t xml:space="preserve">30.96</t>
  </si>
  <si>
    <t xml:space="preserve">65x50 | 6 | 5.16 | 30.96</t>
  </si>
  <si>
    <t xml:space="preserve">5.94</t>
  </si>
  <si>
    <t xml:space="preserve">35.64</t>
  </si>
  <si>
    <t xml:space="preserve">65x50 | 7 | 5.94 | 35.64</t>
  </si>
  <si>
    <t xml:space="preserve">7.49</t>
  </si>
  <si>
    <t xml:space="preserve">44.94</t>
  </si>
  <si>
    <t xml:space="preserve">65x50 | 9 | 7.49 | 44.94</t>
  </si>
  <si>
    <t xml:space="preserve">75x50</t>
  </si>
  <si>
    <t xml:space="preserve">75x50 | 6 | 5.67 | 34.02</t>
  </si>
  <si>
    <t xml:space="preserve">7.35</t>
  </si>
  <si>
    <t xml:space="preserve">44.1</t>
  </si>
  <si>
    <t xml:space="preserve">75x50 | 8 | 7.35 | 44.1</t>
  </si>
  <si>
    <t xml:space="preserve">49.2</t>
  </si>
  <si>
    <t xml:space="preserve">75x50 | 9 | 8.2 | 49.2</t>
  </si>
  <si>
    <t xml:space="preserve">75x50 | 10 | 9.03 | 54.18</t>
  </si>
  <si>
    <t xml:space="preserve">75x65</t>
  </si>
  <si>
    <t xml:space="preserve">75x65 | 6 | 6.38 | 38.28</t>
  </si>
  <si>
    <t xml:space="preserve">75x65 | 8 | 8.29 | 49.74</t>
  </si>
  <si>
    <t xml:space="preserve">75x65 | 10 | 10.2 | 61.2</t>
  </si>
  <si>
    <t xml:space="preserve">100x65</t>
  </si>
  <si>
    <t xml:space="preserve">8.77</t>
  </si>
  <si>
    <t xml:space="preserve">52.62</t>
  </si>
  <si>
    <t xml:space="preserve">100x65 | 6 | 8.77 | 52.62</t>
  </si>
  <si>
    <t xml:space="preserve">100x65 | 7 | 8.77 | 52.62</t>
  </si>
  <si>
    <t xml:space="preserve">9.94</t>
  </si>
  <si>
    <t xml:space="preserve">59.64</t>
  </si>
  <si>
    <t xml:space="preserve">100x65 | 8 | 9.94 | 59.64</t>
  </si>
  <si>
    <t xml:space="preserve">66</t>
  </si>
  <si>
    <t xml:space="preserve">100x65 | 9 | 11 | 66</t>
  </si>
  <si>
    <t xml:space="preserve">12.3</t>
  </si>
  <si>
    <t xml:space="preserve">73.8</t>
  </si>
  <si>
    <t xml:space="preserve">100x65 | 10 | 12.3 | 73.8</t>
  </si>
  <si>
    <t xml:space="preserve">14.4</t>
  </si>
  <si>
    <t xml:space="preserve">86.4</t>
  </si>
  <si>
    <t xml:space="preserve">100x65 | 12 | 14.4 | 86.4</t>
  </si>
  <si>
    <t xml:space="preserve">100x75</t>
  </si>
  <si>
    <t xml:space="preserve">48.24</t>
  </si>
  <si>
    <t xml:space="preserve">100x75 | 6 | 8.04 | 48.24</t>
  </si>
  <si>
    <t xml:space="preserve">9.32</t>
  </si>
  <si>
    <t xml:space="preserve">55.92</t>
  </si>
  <si>
    <t xml:space="preserve">100x75 | 7 | 9.32 | 55.92</t>
  </si>
  <si>
    <t xml:space="preserve">100x75 | 8 | 10.6 | 63.6</t>
  </si>
  <si>
    <t xml:space="preserve">100x75 | 9 | 11.8 | 70.8</t>
  </si>
  <si>
    <t xml:space="preserve">100x75 | 10 | 13 | 78</t>
  </si>
  <si>
    <t xml:space="preserve">15.4</t>
  </si>
  <si>
    <t xml:space="preserve">92.4</t>
  </si>
  <si>
    <t xml:space="preserve">100x75 | 12 | 15.4 | 92.4</t>
  </si>
  <si>
    <t xml:space="preserve">16.5</t>
  </si>
  <si>
    <t xml:space="preserve">99</t>
  </si>
  <si>
    <t xml:space="preserve">100x75 | 13 | 16.5 | 99</t>
  </si>
  <si>
    <t xml:space="preserve">100x90</t>
  </si>
  <si>
    <t xml:space="preserve">10.1</t>
  </si>
  <si>
    <t xml:space="preserve">60.6</t>
  </si>
  <si>
    <t xml:space="preserve">100x90 | 7 | 10.1 | 60.6</t>
  </si>
  <si>
    <t xml:space="preserve">100x90 | 10 | 14.1 | 84.6</t>
  </si>
  <si>
    <t xml:space="preserve">18.1</t>
  </si>
  <si>
    <t xml:space="preserve">108.6</t>
  </si>
  <si>
    <t xml:space="preserve">100x90 | 13 | 18.1 | 108.6</t>
  </si>
  <si>
    <t xml:space="preserve">125x75</t>
  </si>
  <si>
    <t xml:space="preserve">125x75 | 7 | 10.7 | 64.2</t>
  </si>
  <si>
    <t xml:space="preserve">125x75 | 8 | 12.2 | 73.2</t>
  </si>
  <si>
    <t xml:space="preserve">125x75 | 9 | 13.5 | 81</t>
  </si>
  <si>
    <t xml:space="preserve">125x75 | 10 | 14.9 | 89.4</t>
  </si>
  <si>
    <t xml:space="preserve">125x75 | 12 | 17.8 | 106.8</t>
  </si>
  <si>
    <t xml:space="preserve">125x90</t>
  </si>
  <si>
    <t xml:space="preserve">125x90 | 13 | 19.1 | 114.6</t>
  </si>
  <si>
    <t xml:space="preserve">150x75</t>
  </si>
  <si>
    <t xml:space="preserve">11.5</t>
  </si>
  <si>
    <t xml:space="preserve">150x75 | 7 | 11.5 | 69</t>
  </si>
  <si>
    <t xml:space="preserve">14.6</t>
  </si>
  <si>
    <t xml:space="preserve">87.6</t>
  </si>
  <si>
    <t xml:space="preserve">150x75 | 9 | 14.6 | 87.6</t>
  </si>
  <si>
    <t xml:space="preserve">150x75 | 10 | 17 | 102</t>
  </si>
  <si>
    <t xml:space="preserve">20.1</t>
  </si>
  <si>
    <t xml:space="preserve">120.6</t>
  </si>
  <si>
    <t xml:space="preserve">150x75 | 12 | 20.1 | 120.6</t>
  </si>
  <si>
    <t xml:space="preserve">24.8</t>
  </si>
  <si>
    <t xml:space="preserve">148.8</t>
  </si>
  <si>
    <t xml:space="preserve">150x75 | 15 | 24.8 | 148.8</t>
  </si>
  <si>
    <t xml:space="preserve">150x90</t>
  </si>
  <si>
    <t xml:space="preserve">150x90 | 6 | 13 | 78</t>
  </si>
  <si>
    <t xml:space="preserve">15.3</t>
  </si>
  <si>
    <t xml:space="preserve">91.8</t>
  </si>
  <si>
    <t xml:space="preserve">150x90 | 9 | 15.3 | 91.8</t>
  </si>
  <si>
    <t xml:space="preserve">150x90 | 10 | 17 | 102</t>
  </si>
  <si>
    <t xml:space="preserve">150x90 | 12 | 20.1 | 120.6</t>
  </si>
  <si>
    <t xml:space="preserve">26.5</t>
  </si>
  <si>
    <t xml:space="preserve">159</t>
  </si>
  <si>
    <t xml:space="preserve">150x90 | 15 | 26.5 | 159</t>
  </si>
  <si>
    <t xml:space="preserve">150x100</t>
  </si>
  <si>
    <t xml:space="preserve">17.1</t>
  </si>
  <si>
    <t xml:space="preserve">102.6</t>
  </si>
  <si>
    <t xml:space="preserve">150x100 | 9 | 17.1 | 102.6</t>
  </si>
  <si>
    <t xml:space="preserve">18.79</t>
  </si>
  <si>
    <t xml:space="preserve">112.74</t>
  </si>
  <si>
    <t xml:space="preserve">150x100 | 10 | 18.79 | 112.74</t>
  </si>
  <si>
    <t xml:space="preserve">150x100 | 12 | 22.4 | 134.4</t>
  </si>
  <si>
    <t xml:space="preserve">27.7</t>
  </si>
  <si>
    <t xml:space="preserve">166.2</t>
  </si>
  <si>
    <t xml:space="preserve">150x100 | 15 | 27.7 | 166.2</t>
  </si>
  <si>
    <t xml:space="preserve">175x90</t>
  </si>
  <si>
    <t xml:space="preserve">175x90 | 9 | 18.2 | 109.2</t>
  </si>
  <si>
    <t xml:space="preserve">23.8</t>
  </si>
  <si>
    <t xml:space="preserve">142.8</t>
  </si>
  <si>
    <t xml:space="preserve">175x90 | 12 | 23.8 | 142.8</t>
  </si>
  <si>
    <t xml:space="preserve">175x90 | 15 | 29.4 | 176.4</t>
  </si>
  <si>
    <t xml:space="preserve">175x100</t>
  </si>
  <si>
    <t xml:space="preserve">20.9</t>
  </si>
  <si>
    <t xml:space="preserve">125.4</t>
  </si>
  <si>
    <t xml:space="preserve">175x100 | 10 | 20.9 | 125.4</t>
  </si>
  <si>
    <t xml:space="preserve">175x100 | 12 | 24.8 | 148.8</t>
  </si>
  <si>
    <t xml:space="preserve">175x100 | 13 | 28.3 | 169.8</t>
  </si>
  <si>
    <t xml:space="preserve">200x90</t>
  </si>
  <si>
    <t xml:space="preserve">200x90 | 10 | 23 | 138</t>
  </si>
  <si>
    <t xml:space="preserve">200x90 | 11 | 25.1 | 150.6</t>
  </si>
  <si>
    <t xml:space="preserve">200x90 | 12 | 27.3 | 163.8</t>
  </si>
  <si>
    <t xml:space="preserve">29.3</t>
  </si>
  <si>
    <t xml:space="preserve">175.8</t>
  </si>
  <si>
    <t xml:space="preserve">200x90 | 13 | 29.3 | 175.8</t>
  </si>
  <si>
    <t xml:space="preserve">200x90 | 15 | 33.6 | 201.6</t>
  </si>
  <si>
    <t xml:space="preserve">200x100</t>
  </si>
  <si>
    <t xml:space="preserve">200x100 | 10 | 23 | 138</t>
  </si>
  <si>
    <t xml:space="preserve">200x100 | 12 | 27.3 | 163.8</t>
  </si>
  <si>
    <t xml:space="preserve">200x100 | 15 | 33.6 | 201.6</t>
  </si>
  <si>
    <t xml:space="preserve">39.6</t>
  </si>
  <si>
    <t xml:space="preserve">237.6</t>
  </si>
  <si>
    <t xml:space="preserve">200x100 | 18 | 39.6 | 237.6</t>
  </si>
  <si>
    <t xml:space="preserve">Thickness/Length Tolerance: ±5% ~ ±10%  |  Standard as: EN S275JR, S275JR-Cr, S335JR, ASTM A36, A36-Cr, JIS SS400, SS400Cr</t>
  </si>
  <si>
    <r>
      <rPr>
        <sz val="11"/>
        <color theme="1"/>
        <rFont val="Calibri"/>
        <family val="2"/>
        <charset val="1"/>
      </rPr>
      <t xml:space="preserve">Lipped Channel </t>
    </r>
    <r>
      <rPr>
        <sz val="11"/>
        <color theme="1"/>
        <rFont val="Noto Sans CJK SC"/>
        <family val="2"/>
      </rPr>
      <t xml:space="preserve">輕皮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</si>
  <si>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Cold-formed lipped C-sections (H×A×C), dimensions in mm  |  Jin Yuan Fa Hardware Industries Pte Ltd</t>
  </si>
  <si>
    <t xml:space="preserve">Dimensions H×A×C (mm) — Thickness T (mm) — Unit Weight</t>
  </si>
  <si>
    <t xml:space="preserve">H×A×C (mm)</t>
  </si>
  <si>
    <t xml:space="preserve">H×A×C (mm) | T (mm) | Kg/m | Kg/6m</t>
  </si>
  <si>
    <t xml:space="preserve">60x30x10</t>
  </si>
  <si>
    <t xml:space="preserve">1.62</t>
  </si>
  <si>
    <t xml:space="preserve">9.72</t>
  </si>
  <si>
    <t xml:space="preserve">60x30x10 | 1.6 | 1.62 | 9.72</t>
  </si>
  <si>
    <t xml:space="preserve">2.25</t>
  </si>
  <si>
    <t xml:space="preserve">60x30x10 | 2.3 | 2.25 | 13.5</t>
  </si>
  <si>
    <t xml:space="preserve">75x45x15</t>
  </si>
  <si>
    <t xml:space="preserve">2.32</t>
  </si>
  <si>
    <t xml:space="preserve">13.92</t>
  </si>
  <si>
    <t xml:space="preserve">75x45x15 | 1.6 | 2.32 | 13.92</t>
  </si>
  <si>
    <t xml:space="preserve">3.24</t>
  </si>
  <si>
    <t xml:space="preserve">19.44</t>
  </si>
  <si>
    <t xml:space="preserve">75x45x15 | 2.3 | 3.24 | 19.44</t>
  </si>
  <si>
    <t xml:space="preserve">4.13</t>
  </si>
  <si>
    <t xml:space="preserve">24.78</t>
  </si>
  <si>
    <t xml:space="preserve">75x45x15 | 3 | 4.13 | 24.78</t>
  </si>
  <si>
    <t xml:space="preserve">3.2</t>
  </si>
  <si>
    <t xml:space="preserve">4.37</t>
  </si>
  <si>
    <t xml:space="preserve">26.22</t>
  </si>
  <si>
    <t xml:space="preserve">75x45x15 | 3.2 | 4.37 | 26.22</t>
  </si>
  <si>
    <t xml:space="preserve">100x50x20</t>
  </si>
  <si>
    <t xml:space="preserve">2.88</t>
  </si>
  <si>
    <t xml:space="preserve">17.28</t>
  </si>
  <si>
    <t xml:space="preserve">100x50x20 | 1.6 | 2.88 | 17.28</t>
  </si>
  <si>
    <t xml:space="preserve">4.06</t>
  </si>
  <si>
    <t xml:space="preserve">24.36</t>
  </si>
  <si>
    <t xml:space="preserve">100x50x20 | 2.3 | 4.06 | 24.36</t>
  </si>
  <si>
    <t xml:space="preserve">5.18</t>
  </si>
  <si>
    <t xml:space="preserve">31.08</t>
  </si>
  <si>
    <t xml:space="preserve">100x50x20 | 3 | 5.18 | 31.08</t>
  </si>
  <si>
    <t xml:space="preserve">33</t>
  </si>
  <si>
    <t xml:space="preserve">100x50x20 | 3.2 | 5.5 | 33</t>
  </si>
  <si>
    <t xml:space="preserve">6.71</t>
  </si>
  <si>
    <t xml:space="preserve">40.26</t>
  </si>
  <si>
    <t xml:space="preserve">100x50x20 | 4 | 6.71 | 40.26</t>
  </si>
  <si>
    <t xml:space="preserve">4.5</t>
  </si>
  <si>
    <t xml:space="preserve">7.43</t>
  </si>
  <si>
    <t xml:space="preserve">44.58</t>
  </si>
  <si>
    <t xml:space="preserve">100x50x20 | 4.5 | 7.43 | 44.58</t>
  </si>
  <si>
    <t xml:space="preserve">125x50x20</t>
  </si>
  <si>
    <t xml:space="preserve">4.51</t>
  </si>
  <si>
    <t xml:space="preserve">27.06</t>
  </si>
  <si>
    <t xml:space="preserve">125x50x20 | 2.3 | 4.51 | 27.06</t>
  </si>
  <si>
    <t xml:space="preserve">5.77</t>
  </si>
  <si>
    <t xml:space="preserve">34.62</t>
  </si>
  <si>
    <t xml:space="preserve">125x50x20 | 3 | 5.77 | 34.62</t>
  </si>
  <si>
    <t xml:space="preserve">6.13</t>
  </si>
  <si>
    <t xml:space="preserve">36.78</t>
  </si>
  <si>
    <t xml:space="preserve">125x50x20 | 3.2 | 6.13 | 36.78</t>
  </si>
  <si>
    <t xml:space="preserve">45</t>
  </si>
  <si>
    <t xml:space="preserve">125x50x20 | 4 | 7.5 | 45</t>
  </si>
  <si>
    <t xml:space="preserve">8.32</t>
  </si>
  <si>
    <t xml:space="preserve">49.92</t>
  </si>
  <si>
    <t xml:space="preserve">125x50x20 | 4.5 | 8.32 | 49.92</t>
  </si>
  <si>
    <t xml:space="preserve">150x50x20</t>
  </si>
  <si>
    <t xml:space="preserve">4.96</t>
  </si>
  <si>
    <t xml:space="preserve">29.76</t>
  </si>
  <si>
    <t xml:space="preserve">150x50x20 | 2.3 | 4.96 | 29.76</t>
  </si>
  <si>
    <t xml:space="preserve">6.76</t>
  </si>
  <si>
    <t xml:space="preserve">40.56</t>
  </si>
  <si>
    <t xml:space="preserve">150x50x20 | 3.2 | 6.76 | 40.56</t>
  </si>
  <si>
    <t xml:space="preserve">150x50x20 | 4 | 9.2 | 55.2</t>
  </si>
  <si>
    <t xml:space="preserve">150x65x20</t>
  </si>
  <si>
    <t xml:space="preserve">150x65x20 | 2.3 | 5.5 | 33</t>
  </si>
  <si>
    <t xml:space="preserve">7.07</t>
  </si>
  <si>
    <t xml:space="preserve">42.42</t>
  </si>
  <si>
    <t xml:space="preserve">150x65x20 | 3 | 7.07 | 42.42</t>
  </si>
  <si>
    <t xml:space="preserve">7.51</t>
  </si>
  <si>
    <t xml:space="preserve">45.06</t>
  </si>
  <si>
    <t xml:space="preserve">150x65x20 | 3.2 | 7.51 | 45.06</t>
  </si>
  <si>
    <t xml:space="preserve">9.22</t>
  </si>
  <si>
    <t xml:space="preserve">55.32</t>
  </si>
  <si>
    <t xml:space="preserve">150x65x20 | 4 | 9.22 | 55.32</t>
  </si>
  <si>
    <t xml:space="preserve">10.25</t>
  </si>
  <si>
    <t xml:space="preserve">61.5</t>
  </si>
  <si>
    <t xml:space="preserve">150x65x20 | 4.5 | 10.25 | 61.5</t>
  </si>
  <si>
    <t xml:space="preserve">175x75x20</t>
  </si>
  <si>
    <t xml:space="preserve">6.31</t>
  </si>
  <si>
    <t xml:space="preserve">37.86</t>
  </si>
  <si>
    <t xml:space="preserve">175x75x20 | 2.3 | 6.31 | 37.86</t>
  </si>
  <si>
    <t xml:space="preserve">8.13</t>
  </si>
  <si>
    <t xml:space="preserve">48.78</t>
  </si>
  <si>
    <t xml:space="preserve">175x75x20 | 3 | 8.13 | 48.78</t>
  </si>
  <si>
    <t xml:space="preserve">8.63</t>
  </si>
  <si>
    <t xml:space="preserve">51.78</t>
  </si>
  <si>
    <t xml:space="preserve">175x75x20 | 3.2 | 8.63 | 51.78</t>
  </si>
  <si>
    <t xml:space="preserve">10.63</t>
  </si>
  <si>
    <t xml:space="preserve">63.78</t>
  </si>
  <si>
    <t xml:space="preserve">175x75x20 | 4 | 10.63 | 63.78</t>
  </si>
  <si>
    <t xml:space="preserve">11.84</t>
  </si>
  <si>
    <t xml:space="preserve">71.04</t>
  </si>
  <si>
    <t xml:space="preserve">175x75x20 | 4.5 | 11.84 | 71.04</t>
  </si>
  <si>
    <t xml:space="preserve">200x75x20</t>
  </si>
  <si>
    <t xml:space="preserve">200x75x20 | 2.3 | 6.76 | 40.56</t>
  </si>
  <si>
    <t xml:space="preserve">8.71</t>
  </si>
  <si>
    <t xml:space="preserve">52.26</t>
  </si>
  <si>
    <t xml:space="preserve">200x75x20 | 3 | 8.71 | 52.26</t>
  </si>
  <si>
    <t xml:space="preserve">9.27</t>
  </si>
  <si>
    <t xml:space="preserve">55.62</t>
  </si>
  <si>
    <t xml:space="preserve">200x75x20 | 3.2 | 9.27 | 55.62</t>
  </si>
  <si>
    <t xml:space="preserve">11.4</t>
  </si>
  <si>
    <t xml:space="preserve">68.4</t>
  </si>
  <si>
    <t xml:space="preserve">200x75x20 | 4 | 11.4 | 68.4</t>
  </si>
  <si>
    <t xml:space="preserve">12.73</t>
  </si>
  <si>
    <t xml:space="preserve">76.38</t>
  </si>
  <si>
    <t xml:space="preserve">200x75x20 | 4.5 | 12.73 | 76.38</t>
  </si>
  <si>
    <t xml:space="preserve">200x75x25</t>
  </si>
  <si>
    <t xml:space="preserve">6.94</t>
  </si>
  <si>
    <t xml:space="preserve">41.64</t>
  </si>
  <si>
    <t xml:space="preserve">200x75x25 | 2.3 | 6.94 | 41.64</t>
  </si>
  <si>
    <t xml:space="preserve">200x75x25 | 3 | 8.71 | 52.26</t>
  </si>
  <si>
    <t xml:space="preserve">9.52</t>
  </si>
  <si>
    <t xml:space="preserve">57.12</t>
  </si>
  <si>
    <t xml:space="preserve">200x75x25 | 3.2 | 9.52 | 57.12</t>
  </si>
  <si>
    <t xml:space="preserve">11.7</t>
  </si>
  <si>
    <t xml:space="preserve">70.2</t>
  </si>
  <si>
    <t xml:space="preserve">200x75x25 | 4 | 11.7 | 70.2</t>
  </si>
  <si>
    <t xml:space="preserve">13.1</t>
  </si>
  <si>
    <t xml:space="preserve">78.6</t>
  </si>
  <si>
    <t xml:space="preserve">200x75x25 | 4.5 | 13.1 | 78.6</t>
  </si>
  <si>
    <t xml:space="preserve">225x75x20</t>
  </si>
  <si>
    <t xml:space="preserve">7.21</t>
  </si>
  <si>
    <t xml:space="preserve">43.26</t>
  </si>
  <si>
    <t xml:space="preserve">225x75x20 | 2.3 | 7.21 | 43.26</t>
  </si>
  <si>
    <t xml:space="preserve">55.8</t>
  </si>
  <si>
    <t xml:space="preserve">225x75x20 | 3 | 9.3 | 55.8</t>
  </si>
  <si>
    <t xml:space="preserve">9.89</t>
  </si>
  <si>
    <t xml:space="preserve">59.34</t>
  </si>
  <si>
    <t xml:space="preserve">225x75x20 | 3.2 | 9.89 | 59.34</t>
  </si>
  <si>
    <t xml:space="preserve">12.21</t>
  </si>
  <si>
    <t xml:space="preserve">73.26</t>
  </si>
  <si>
    <t xml:space="preserve">225x75x20 | 4 | 12.21 | 73.26</t>
  </si>
  <si>
    <t xml:space="preserve">13.61</t>
  </si>
  <si>
    <t xml:space="preserve">81.66</t>
  </si>
  <si>
    <t xml:space="preserve">225x75x20 | 4.5 | 13.61 | 81.66</t>
  </si>
  <si>
    <t xml:space="preserve">225x75x25</t>
  </si>
  <si>
    <t xml:space="preserve">7.4</t>
  </si>
  <si>
    <t xml:space="preserve">44.4</t>
  </si>
  <si>
    <t xml:space="preserve">225x75x25 | 2.3 | 7.4 | 44.4</t>
  </si>
  <si>
    <t xml:space="preserve">9.54</t>
  </si>
  <si>
    <t xml:space="preserve">57.24</t>
  </si>
  <si>
    <t xml:space="preserve">225x75x25 | 3 | 9.54 | 57.24</t>
  </si>
  <si>
    <t xml:space="preserve">12.4</t>
  </si>
  <si>
    <t xml:space="preserve">74.4</t>
  </si>
  <si>
    <t xml:space="preserve">225x75x25 | 4 | 12.4 | 74.4</t>
  </si>
  <si>
    <t xml:space="preserve">13.96</t>
  </si>
  <si>
    <t xml:space="preserve">83.76</t>
  </si>
  <si>
    <t xml:space="preserve">225x75x25 | 4.5 | 13.96 | 83.76</t>
  </si>
  <si>
    <t xml:space="preserve">250x75x20</t>
  </si>
  <si>
    <t xml:space="preserve">7.67</t>
  </si>
  <si>
    <t xml:space="preserve">46.02</t>
  </si>
  <si>
    <t xml:space="preserve">250x75x20 | 2.3 | 7.67 | 46.02</t>
  </si>
  <si>
    <t xml:space="preserve">250x75x20 | 3 | 9.89 | 59.34</t>
  </si>
  <si>
    <t xml:space="preserve">10.52</t>
  </si>
  <si>
    <t xml:space="preserve">63.12</t>
  </si>
  <si>
    <t xml:space="preserve">250x75x20 | 3.2 | 10.52 | 63.12</t>
  </si>
  <si>
    <t xml:space="preserve">12.99</t>
  </si>
  <si>
    <t xml:space="preserve">77.94</t>
  </si>
  <si>
    <t xml:space="preserve">250x75x20 | 4 | 12.99 | 77.94</t>
  </si>
  <si>
    <t xml:space="preserve">14.5</t>
  </si>
  <si>
    <t xml:space="preserve">87</t>
  </si>
  <si>
    <t xml:space="preserve">250x75x20 | 4.5 | 14.5 | 87</t>
  </si>
  <si>
    <t xml:space="preserve">250x75x25</t>
  </si>
  <si>
    <t xml:space="preserve">250x75x25 | 2.3 | 7.85 | 47.1</t>
  </si>
  <si>
    <t xml:space="preserve">60.78</t>
  </si>
  <si>
    <t xml:space="preserve">250x75x25 | 3 | 10.1 | 60.78</t>
  </si>
  <si>
    <t xml:space="preserve">10.8</t>
  </si>
  <si>
    <t xml:space="preserve">64.8</t>
  </si>
  <si>
    <t xml:space="preserve">250x75x25 | 3.2 | 10.8 | 64.8</t>
  </si>
  <si>
    <t xml:space="preserve">250x75x25 | 4 | 13.3 | 79.8</t>
  </si>
  <si>
    <t xml:space="preserve">250x75x25 | 4.5 | 14.9 | 89.4</t>
  </si>
  <si>
    <t xml:space="preserve">Thickness/Length Tolerance: ±5% ~ ±10%  |  Standard as: EN S275JR, S275JR-Cr, S335JR, ASTM A36, A36-Cr JIS SS400, SS400Cr</t>
  </si>
  <si>
    <r>
      <rPr>
        <sz val="11"/>
        <color theme="1"/>
        <rFont val="Calibri"/>
        <family val="2"/>
        <charset val="1"/>
      </rPr>
      <t xml:space="preserve">Plain Channel C </t>
    </r>
    <r>
      <rPr>
        <sz val="11"/>
        <color theme="1"/>
        <rFont val="Noto Sans CJK SC"/>
        <family val="2"/>
      </rPr>
      <t xml:space="preserve">輕型鐵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</si>
  <si>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Plain C-channel sections (H×A×B), dimensions in mm  |  Jin Yuan Fa Hardware Industries Pte Ltd</t>
  </si>
  <si>
    <t xml:space="preserve">Dimensions H×A×B (mm) — Thickness T (mm) — Unit Weight</t>
  </si>
  <si>
    <t xml:space="preserve">H×A×B (mm)</t>
  </si>
  <si>
    <t xml:space="preserve">H×A×B (mm) | T (mm) | Kg/m | Kg/6m</t>
  </si>
  <si>
    <t xml:space="preserve">25x25x25</t>
  </si>
  <si>
    <t xml:space="preserve">25x25x25 | 1.6 | 0.88 | 5.28</t>
  </si>
  <si>
    <t xml:space="preserve">1.22</t>
  </si>
  <si>
    <t xml:space="preserve">25x25x25 | 2.3 | 1.22 | 7.32</t>
  </si>
  <si>
    <t xml:space="preserve">25x25x25 | 3 | 1.53 | 9.18</t>
  </si>
  <si>
    <t xml:space="preserve">25x25x25 | 3.2 | 1.62 | 9.72</t>
  </si>
  <si>
    <t xml:space="preserve">60x25x25</t>
  </si>
  <si>
    <t xml:space="preserve">1.31</t>
  </si>
  <si>
    <t xml:space="preserve">7.86</t>
  </si>
  <si>
    <t xml:space="preserve">60x25x25 | 1.6 | 1.31 | 7.86</t>
  </si>
  <si>
    <t xml:space="preserve">1.85</t>
  </si>
  <si>
    <t xml:space="preserve">11.1</t>
  </si>
  <si>
    <t xml:space="preserve">60x25x25 | 2.3 | 1.85 | 11.1</t>
  </si>
  <si>
    <t xml:space="preserve">60x25x25 | 3 | 2.36 | 14.16</t>
  </si>
  <si>
    <t xml:space="preserve">60x25x25 | 3.2 | 2.5 | 15</t>
  </si>
  <si>
    <t xml:space="preserve">60x30x30</t>
  </si>
  <si>
    <t xml:space="preserve">1.44</t>
  </si>
  <si>
    <t xml:space="preserve">8.64</t>
  </si>
  <si>
    <t xml:space="preserve">60x30x30 | 1.6 | 1.44 | 8.64</t>
  </si>
  <si>
    <t xml:space="preserve">2.03</t>
  </si>
  <si>
    <t xml:space="preserve">12.18</t>
  </si>
  <si>
    <t xml:space="preserve">60x30x30 | 2.3 | 2.03 | 12.18</t>
  </si>
  <si>
    <t xml:space="preserve">60x30x30 | 3.2 | 3 | —</t>
  </si>
  <si>
    <t xml:space="preserve">75x40x40</t>
  </si>
  <si>
    <t xml:space="preserve">2</t>
  </si>
  <si>
    <t xml:space="preserve">75x40x40 | 1.6 | 2 | 12</t>
  </si>
  <si>
    <t xml:space="preserve">2.84</t>
  </si>
  <si>
    <t xml:space="preserve">17.04</t>
  </si>
  <si>
    <t xml:space="preserve">75x40x40 | 2.3 | 2.84 | 17.04</t>
  </si>
  <si>
    <t xml:space="preserve">20.52</t>
  </si>
  <si>
    <t xml:space="preserve">75x40x40 | 3 | 3.42 | 20.52</t>
  </si>
  <si>
    <t xml:space="preserve">3.63</t>
  </si>
  <si>
    <t xml:space="preserve">21.78</t>
  </si>
  <si>
    <t xml:space="preserve">75x40x40 | 3.2 | 3.63 | 21.78</t>
  </si>
  <si>
    <t xml:space="preserve">100x50x50</t>
  </si>
  <si>
    <t xml:space="preserve">2.77</t>
  </si>
  <si>
    <t xml:space="preserve">16.62</t>
  </si>
  <si>
    <t xml:space="preserve">100x50x50 | 1.6 | 2.77 | 16.62</t>
  </si>
  <si>
    <t xml:space="preserve">3.47</t>
  </si>
  <si>
    <t xml:space="preserve">20.82</t>
  </si>
  <si>
    <t xml:space="preserve">100x50x50 | 2.3 | 3.47 | 20.82</t>
  </si>
  <si>
    <t xml:space="preserve">4.47</t>
  </si>
  <si>
    <t xml:space="preserve">26.82</t>
  </si>
  <si>
    <t xml:space="preserve">100x50x50 | 3 | 4.47 | 26.82</t>
  </si>
  <si>
    <t xml:space="preserve">4.76</t>
  </si>
  <si>
    <t xml:space="preserve">28.56</t>
  </si>
  <si>
    <t xml:space="preserve">100x50x50 | 3.2 | 4.76 | 28.56</t>
  </si>
  <si>
    <t xml:space="preserve">5.87</t>
  </si>
  <si>
    <t xml:space="preserve">35.22</t>
  </si>
  <si>
    <t xml:space="preserve">100x50x50 | 4 | 5.87 | 35.22</t>
  </si>
  <si>
    <t xml:space="preserve">6.54</t>
  </si>
  <si>
    <t xml:space="preserve">39.24</t>
  </si>
  <si>
    <t xml:space="preserve">100x50x50 | 4.5 | 6.54 | 39.24</t>
  </si>
  <si>
    <t xml:space="preserve">125x50x50</t>
  </si>
  <si>
    <t xml:space="preserve">3.92</t>
  </si>
  <si>
    <t xml:space="preserve">23.52</t>
  </si>
  <si>
    <t xml:space="preserve">125x50x50 | 2.3 | 3.92 | 23.52</t>
  </si>
  <si>
    <t xml:space="preserve">5.06</t>
  </si>
  <si>
    <t xml:space="preserve">30.36</t>
  </si>
  <si>
    <t xml:space="preserve">125x50x50 | 3 | 5.06 | 30.36</t>
  </si>
  <si>
    <t xml:space="preserve">5.93</t>
  </si>
  <si>
    <t xml:space="preserve">35.58</t>
  </si>
  <si>
    <t xml:space="preserve">125x50x50 | 3.2 | 5.93 | 35.58</t>
  </si>
  <si>
    <t xml:space="preserve">6.53</t>
  </si>
  <si>
    <t xml:space="preserve">39.18</t>
  </si>
  <si>
    <t xml:space="preserve">125x50x50 | 4 | 6.53 | 39.18</t>
  </si>
  <si>
    <t xml:space="preserve">7.42</t>
  </si>
  <si>
    <t xml:space="preserve">44.52</t>
  </si>
  <si>
    <t xml:space="preserve">125x50x50 | 4.5 | 7.42 | 44.52</t>
  </si>
  <si>
    <t xml:space="preserve">150x65x65</t>
  </si>
  <si>
    <t xml:space="preserve">4.92</t>
  </si>
  <si>
    <t xml:space="preserve">29.52</t>
  </si>
  <si>
    <t xml:space="preserve">150x65x65 | 2.3 | 4.92 | 29.52</t>
  </si>
  <si>
    <t xml:space="preserve">150x65x65 | 3 | 6.36 | 38.16</t>
  </si>
  <si>
    <t xml:space="preserve">6.77</t>
  </si>
  <si>
    <t xml:space="preserve">40.62</t>
  </si>
  <si>
    <t xml:space="preserve">150x65x65 | 3.2 | 6.77 | 40.62</t>
  </si>
  <si>
    <t xml:space="preserve">150x75x75</t>
  </si>
  <si>
    <t xml:space="preserve">5.55</t>
  </si>
  <si>
    <t xml:space="preserve">33.3</t>
  </si>
  <si>
    <t xml:space="preserve">150x75x75 | 2.3 | 5.55 | 33.3</t>
  </si>
  <si>
    <t xml:space="preserve">7.19</t>
  </si>
  <si>
    <t xml:space="preserve">43.14</t>
  </si>
  <si>
    <t xml:space="preserve">150x75x75 | 3 | 7.19 | 43.14</t>
  </si>
  <si>
    <t xml:space="preserve">7.65</t>
  </si>
  <si>
    <t xml:space="preserve">45.9</t>
  </si>
  <si>
    <t xml:space="preserve">150x75x75 | 3.2 | 7.65 | 45.9</t>
  </si>
  <si>
    <t xml:space="preserve">175x70x70</t>
  </si>
  <si>
    <t xml:space="preserve">5.73</t>
  </si>
  <si>
    <t xml:space="preserve">34.38</t>
  </si>
  <si>
    <t xml:space="preserve">175x70x70 | 2.3 | 5.73 | 34.38</t>
  </si>
  <si>
    <t xml:space="preserve">44.5</t>
  </si>
  <si>
    <t xml:space="preserve">175x70x70 | 3 | 7.42 | 44.5</t>
  </si>
  <si>
    <t xml:space="preserve">175x70x70 | 3.2 | 7.65 | 45.9</t>
  </si>
  <si>
    <t xml:space="preserve">9.79</t>
  </si>
  <si>
    <t xml:space="preserve">58.74</t>
  </si>
  <si>
    <t xml:space="preserve">175x70x70 | 4 | 9.79 | 58.74</t>
  </si>
  <si>
    <t xml:space="preserve">10.95</t>
  </si>
  <si>
    <t xml:space="preserve">65.7</t>
  </si>
  <si>
    <t xml:space="preserve">175x70x70 | 4.5 | 10.95 | 65.7</t>
  </si>
  <si>
    <t xml:space="preserve">175x75x75</t>
  </si>
  <si>
    <t xml:space="preserve">36</t>
  </si>
  <si>
    <t xml:space="preserve">175x75x75 | 2.3 | 6 | 36</t>
  </si>
  <si>
    <t xml:space="preserve">7.77</t>
  </si>
  <si>
    <t xml:space="preserve">46.62</t>
  </si>
  <si>
    <t xml:space="preserve">175x75x75 | 3 | 7.77 | 46.62</t>
  </si>
  <si>
    <t xml:space="preserve">175x75x75 | 4 | 8.28 | 49.68</t>
  </si>
  <si>
    <t xml:space="preserve">200x70x70</t>
  </si>
  <si>
    <t xml:space="preserve">37.08</t>
  </si>
  <si>
    <t xml:space="preserve">200x70x70 | 2.3 | 6.18 | 37.08</t>
  </si>
  <si>
    <t xml:space="preserve">8.01</t>
  </si>
  <si>
    <t xml:space="preserve">48.06</t>
  </si>
  <si>
    <t xml:space="preserve">200x70x70 | 3 | 8.01 | 48.06</t>
  </si>
  <si>
    <t xml:space="preserve">200x70x70 | 4 | 9.79 | 58.74</t>
  </si>
  <si>
    <t xml:space="preserve">200x75x75</t>
  </si>
  <si>
    <t xml:space="preserve">6.63</t>
  </si>
  <si>
    <t xml:space="preserve">39.78</t>
  </si>
  <si>
    <t xml:space="preserve">200x75x75 | 2.3 | 6.63 | 39.78</t>
  </si>
  <si>
    <t xml:space="preserve">8.59</t>
  </si>
  <si>
    <t xml:space="preserve">51.54</t>
  </si>
  <si>
    <t xml:space="preserve">200x75x75 | 3 | 8.59 | 51.54</t>
  </si>
  <si>
    <t xml:space="preserve">200x75x75 | 4 | 11.84 | 71.04</t>
  </si>
  <si>
    <t xml:space="preserve">225x75x75</t>
  </si>
  <si>
    <t xml:space="preserve">42.48</t>
  </si>
  <si>
    <t xml:space="preserve">225x75x75 | 2.3 | 7.08 | 42.48</t>
  </si>
  <si>
    <t xml:space="preserve">55.08</t>
  </si>
  <si>
    <t xml:space="preserve">225x75x75 | 3 | 9.18 | 55.08</t>
  </si>
  <si>
    <t xml:space="preserve">9.16</t>
  </si>
  <si>
    <t xml:space="preserve">54.96</t>
  </si>
  <si>
    <t xml:space="preserve">225x75x75 | 3.2 | 9.16 | 54.96</t>
  </si>
  <si>
    <t xml:space="preserve">11.36</t>
  </si>
  <si>
    <t xml:space="preserve">68.16</t>
  </si>
  <si>
    <t xml:space="preserve">225x75x75 | 4 | 11.36 | 68.16</t>
  </si>
  <si>
    <t xml:space="preserve">76.32</t>
  </si>
  <si>
    <t xml:space="preserve">225x75x75 | 4.5 | 12.72 | 76.32</t>
  </si>
  <si>
    <t xml:space="preserve">250x75x75</t>
  </si>
  <si>
    <t xml:space="preserve">250x75x75 | 2.3 | 7.08 | 42.48</t>
  </si>
  <si>
    <t xml:space="preserve">250x75x75 | 3 | 9.18 | 55.08</t>
  </si>
  <si>
    <t xml:space="preserve">250x75x75 | 3.2 | 9.79 | 58.74</t>
  </si>
  <si>
    <t xml:space="preserve">12.15</t>
  </si>
  <si>
    <t xml:space="preserve">72.9</t>
  </si>
  <si>
    <t xml:space="preserve">250x75x75 | 4 | 12.15 | 72.9</t>
  </si>
  <si>
    <t xml:space="preserve">13.6</t>
  </si>
  <si>
    <t xml:space="preserve">81.6</t>
  </si>
  <si>
    <t xml:space="preserve">250x75x75 | 4.5 | 13.6 | 81.6</t>
  </si>
  <si>
    <t xml:space="preserve">8.38</t>
  </si>
  <si>
    <t xml:space="preserve">50.28</t>
  </si>
  <si>
    <t xml:space="preserve">150x65x65 | 4 | 8.38 | 50.28</t>
  </si>
  <si>
    <t xml:space="preserve">9.36</t>
  </si>
  <si>
    <t xml:space="preserve">56.16</t>
  </si>
  <si>
    <t xml:space="preserve">150x65x65 | 4.5 | 9.36 | 56.16</t>
  </si>
  <si>
    <r>
      <rPr>
        <sz val="11"/>
        <color theme="1"/>
        <rFont val="Calibri"/>
        <family val="2"/>
        <charset val="1"/>
      </rPr>
      <t xml:space="preserve">Carbon Steel Pipe </t>
    </r>
    <r>
      <rPr>
        <sz val="11"/>
        <color theme="1"/>
        <rFont val="Noto Sans CJK SC"/>
        <family val="2"/>
      </rPr>
      <t xml:space="preserve">普通碳鋼管 — </t>
    </r>
    <r>
      <rPr>
        <sz val="11"/>
        <color theme="1"/>
        <rFont val="Calibri"/>
        <family val="2"/>
        <charset val="1"/>
      </rPr>
      <t xml:space="preserve">Ordinary Pipe</t>
    </r>
  </si>
  <si>
    <t xml:space="preserve">Carbon steel pipe for ordinary use — OD, wall thickness &amp; weight  |  Jin Yuan Fa Hardware Industries Pte Ltd</t>
  </si>
  <si>
    <t xml:space="preserve">Nominal Size — Outside Diameter — Wall Thickness — Weight — Test Pressure</t>
  </si>
  <si>
    <t xml:space="preserve">Nominal
(mm)</t>
  </si>
  <si>
    <t xml:space="preserve">Nominal
(inch)</t>
  </si>
  <si>
    <t xml:space="preserve">OD
(mm)</t>
  </si>
  <si>
    <t xml:space="preserve">OD
(inch)</t>
  </si>
  <si>
    <t xml:space="preserve">Wall
(mm)</t>
  </si>
  <si>
    <t xml:space="preserve">Nominal
(mm) | Nominal
(inch) | OD
(mm) | OD
(inch) | Wall
(mm)</t>
  </si>
  <si>
    <t xml:space="preserve">1/2</t>
  </si>
  <si>
    <t xml:space="preserve">21.7</t>
  </si>
  <si>
    <t xml:space="preserve">0.854</t>
  </si>
  <si>
    <t xml:space="preserve">2.8</t>
  </si>
  <si>
    <t xml:space="preserve">15 | 1/2 | 21.7 | 0.854 | 2.8</t>
  </si>
  <si>
    <t xml:space="preserve">3/4</t>
  </si>
  <si>
    <t xml:space="preserve">27.2</t>
  </si>
  <si>
    <t xml:space="preserve">1.071</t>
  </si>
  <si>
    <t xml:space="preserve">20 | 3/4 | 27.2 | 1.071 | 2.8</t>
  </si>
  <si>
    <t xml:space="preserve">34</t>
  </si>
  <si>
    <t xml:space="preserve">1.339</t>
  </si>
  <si>
    <t xml:space="preserve">25 | 1 | 34 | 1.339 | 3.2</t>
  </si>
  <si>
    <t xml:space="preserve">1-1/4</t>
  </si>
  <si>
    <t xml:space="preserve">42.7</t>
  </si>
  <si>
    <t xml:space="preserve">1.681</t>
  </si>
  <si>
    <t xml:space="preserve">32 | 1-1/4 | 42.7 | 1.681 | 3.5</t>
  </si>
  <si>
    <t xml:space="preserve">1-1/2</t>
  </si>
  <si>
    <t xml:space="preserve">48.6</t>
  </si>
  <si>
    <t xml:space="preserve">1.913</t>
  </si>
  <si>
    <t xml:space="preserve">40 | 1-1/2 | 48.6 | 1.913 | 3.5</t>
  </si>
  <si>
    <t xml:space="preserve">50</t>
  </si>
  <si>
    <t xml:space="preserve">60.5</t>
  </si>
  <si>
    <t xml:space="preserve">2.382</t>
  </si>
  <si>
    <t xml:space="preserve">3.8</t>
  </si>
  <si>
    <t xml:space="preserve">50 | 2 | 60.5 | 2.382 | 3.8</t>
  </si>
  <si>
    <t xml:space="preserve">65</t>
  </si>
  <si>
    <t xml:space="preserve">2-1/2</t>
  </si>
  <si>
    <t xml:space="preserve">76.3</t>
  </si>
  <si>
    <t xml:space="preserve">3.004</t>
  </si>
  <si>
    <t xml:space="preserve">4.2</t>
  </si>
  <si>
    <t xml:space="preserve">65 | 2-1/2 | 76.3 | 3.004 | 4.2</t>
  </si>
  <si>
    <t xml:space="preserve">80</t>
  </si>
  <si>
    <t xml:space="preserve">89.1</t>
  </si>
  <si>
    <t xml:space="preserve">3.508</t>
  </si>
  <si>
    <t xml:space="preserve">80 | 3 | 89.1 | 3.508 | 4.2</t>
  </si>
  <si>
    <t xml:space="preserve">3-1/2</t>
  </si>
  <si>
    <t xml:space="preserve">101.6</t>
  </si>
  <si>
    <t xml:space="preserve">90 | 3-1/2 | 101.6 | 4 | 4.2</t>
  </si>
  <si>
    <t xml:space="preserve">100</t>
  </si>
  <si>
    <t xml:space="preserve">114.3</t>
  </si>
  <si>
    <t xml:space="preserve">100 | 4 | 114.3 | 4.5 | 4.5</t>
  </si>
  <si>
    <t xml:space="preserve">139.8</t>
  </si>
  <si>
    <t xml:space="preserve">5.504</t>
  </si>
  <si>
    <t xml:space="preserve">125 | 5 | 139.8 | 5.504 | 4.5</t>
  </si>
  <si>
    <t xml:space="preserve">150</t>
  </si>
  <si>
    <t xml:space="preserve">165.2</t>
  </si>
  <si>
    <t xml:space="preserve">6.504</t>
  </si>
  <si>
    <t xml:space="preserve">150 | 6 | 165.2 | 6.504 | 5</t>
  </si>
  <si>
    <t xml:space="preserve">190.7</t>
  </si>
  <si>
    <t xml:space="preserve">7.508</t>
  </si>
  <si>
    <t xml:space="preserve">175 | 7 | 190.7 | 7.508 | 5.3</t>
  </si>
  <si>
    <t xml:space="preserve">216.3</t>
  </si>
  <si>
    <t xml:space="preserve">8.516</t>
  </si>
  <si>
    <t xml:space="preserve">5.8</t>
  </si>
  <si>
    <t xml:space="preserve">200 | 8 | 216.3 | 8.516 | 5.8</t>
  </si>
  <si>
    <t xml:space="preserve">241.8</t>
  </si>
  <si>
    <t xml:space="preserve">6.2</t>
  </si>
  <si>
    <t xml:space="preserve">225 | 9 | 241.8 | 9.52 | 6.2</t>
  </si>
  <si>
    <t xml:space="preserve">250</t>
  </si>
  <si>
    <t xml:space="preserve">267.4</t>
  </si>
  <si>
    <t xml:space="preserve">10.528</t>
  </si>
  <si>
    <t xml:space="preserve">6.6</t>
  </si>
  <si>
    <t xml:space="preserve">250 | 10 | 267.4 | 10.528 | 6.6</t>
  </si>
  <si>
    <t xml:space="preserve">318.5</t>
  </si>
  <si>
    <t xml:space="preserve">12.539</t>
  </si>
  <si>
    <t xml:space="preserve">6.9</t>
  </si>
  <si>
    <t xml:space="preserve">300 | 12 | 318.5 | 12.539 | 6.9</t>
  </si>
  <si>
    <t xml:space="preserve">14</t>
  </si>
  <si>
    <t xml:space="preserve">355.6</t>
  </si>
  <si>
    <t xml:space="preserve">7.9</t>
  </si>
  <si>
    <t xml:space="preserve">350 | 14 | 355.6 | 14 | 7.9</t>
  </si>
  <si>
    <t xml:space="preserve">406.4</t>
  </si>
  <si>
    <t xml:space="preserve">400 | 16 | 406.4 | 16 | 7.9</t>
  </si>
  <si>
    <t xml:space="preserve">Thickness/Length Tolerance: ±5% ~ ±10%  |  Standard as: JIS G3452-1969-SGP</t>
  </si>
  <si>
    <r>
      <rPr>
        <sz val="11"/>
        <color theme="1"/>
        <rFont val="Calibri"/>
        <family val="2"/>
        <charset val="1"/>
      </rPr>
      <t xml:space="preserve">Welded Steel Pipe </t>
    </r>
    <r>
      <rPr>
        <sz val="11"/>
        <color theme="1"/>
        <rFont val="Noto Sans CJK SC"/>
        <family val="2"/>
      </rPr>
      <t xml:space="preserve">焊接鋼管 — </t>
    </r>
    <r>
      <rPr>
        <sz val="11"/>
        <color theme="1"/>
        <rFont val="Calibri"/>
        <family val="2"/>
        <charset val="1"/>
      </rPr>
      <t xml:space="preserve">Class AA / A1 / Light / Medium / Heavy</t>
    </r>
  </si>
  <si>
    <t xml:space="preserve">British Standard 1387-1985 / MS 863  |  Jin Yuan Fa Hardware Industries Pte Ltd</t>
  </si>
  <si>
    <t xml:space="preserve">CLASS EXTRA LIGHT (AA) — BS 1387-1985</t>
  </si>
  <si>
    <t xml:space="preserve">Nom
(mm)</t>
  </si>
  <si>
    <t xml:space="preserve">Nom
(inch)</t>
  </si>
  <si>
    <t xml:space="preserve">OD Max
(mm)</t>
  </si>
  <si>
    <t xml:space="preserve">OD Max
(in)</t>
  </si>
  <si>
    <t xml:space="preserve">OD Min
(mm)</t>
  </si>
  <si>
    <t xml:space="preserve">Nom
(mm) | Nom
(inch) | OD Max
(mm) | OD Max
(in) | OD Min
(mm)</t>
  </si>
  <si>
    <t xml:space="preserve">21.4</t>
  </si>
  <si>
    <t xml:space="preserve">0.84</t>
  </si>
  <si>
    <t xml:space="preserve">15 | 1/2 | 21.4 | 0.84 | 21</t>
  </si>
  <si>
    <t xml:space="preserve">26.9</t>
  </si>
  <si>
    <t xml:space="preserve">26.4</t>
  </si>
  <si>
    <t xml:space="preserve">20 | 3/4 | 26.9 | 1.06 | 26.4</t>
  </si>
  <si>
    <t xml:space="preserve">33.8</t>
  </si>
  <si>
    <t xml:space="preserve">1.33</t>
  </si>
  <si>
    <t xml:space="preserve">33.2</t>
  </si>
  <si>
    <t xml:space="preserve">25 | 1 | 33.8 | 1.33 | 33.2</t>
  </si>
  <si>
    <t xml:space="preserve">42.5</t>
  </si>
  <si>
    <t xml:space="preserve">1.67</t>
  </si>
  <si>
    <t xml:space="preserve">32 | 1-1/4 | 42.5 | 1.67 | 41.9</t>
  </si>
  <si>
    <t xml:space="preserve">48.4</t>
  </si>
  <si>
    <t xml:space="preserve">1.9</t>
  </si>
  <si>
    <t xml:space="preserve">47.8</t>
  </si>
  <si>
    <t xml:space="preserve">40 | 1-1/2 | 48.4 | 1.9 | 47.8</t>
  </si>
  <si>
    <t xml:space="preserve">60.2</t>
  </si>
  <si>
    <t xml:space="preserve">59.6</t>
  </si>
  <si>
    <t xml:space="preserve">50 | 2 | 60.2 | 2.3 | 59.6</t>
  </si>
  <si>
    <t xml:space="preserve">76</t>
  </si>
  <si>
    <t xml:space="preserve">2.99</t>
  </si>
  <si>
    <t xml:space="preserve">75.2</t>
  </si>
  <si>
    <t xml:space="preserve">65 | 2-1/2 | 76 | 2.99 | 75.2</t>
  </si>
  <si>
    <t xml:space="preserve">88.7</t>
  </si>
  <si>
    <t xml:space="preserve">3.49</t>
  </si>
  <si>
    <t xml:space="preserve">87.9</t>
  </si>
  <si>
    <t xml:space="preserve">80 | 3 | 88.7 | 3.49 | 87.9</t>
  </si>
  <si>
    <t xml:space="preserve">3.98</t>
  </si>
  <si>
    <t xml:space="preserve">101.1</t>
  </si>
  <si>
    <t xml:space="preserve">90 | 3-1/2 | 102 | 3.98 | 101.1</t>
  </si>
  <si>
    <t xml:space="preserve">113.9</t>
  </si>
  <si>
    <t xml:space="preserve">4.48</t>
  </si>
  <si>
    <t xml:space="preserve">113</t>
  </si>
  <si>
    <t xml:space="preserve">100 | 4 | 113.9 | 4.48 | 113</t>
  </si>
  <si>
    <t xml:space="preserve">140.6</t>
  </si>
  <si>
    <t xml:space="preserve">138.7</t>
  </si>
  <si>
    <t xml:space="preserve">125 | 5 | 140.6 | 5.53 | 138.7</t>
  </si>
  <si>
    <t xml:space="preserve">166.1</t>
  </si>
  <si>
    <t xml:space="preserve">164.1</t>
  </si>
  <si>
    <t xml:space="preserve">150 | 6 | 166.1 | 6.54 | 164.1</t>
  </si>
  <si>
    <t xml:space="preserve">CLASS LIGHT A1 — BS 1387-1985</t>
  </si>
  <si>
    <t xml:space="preserve">ID
(mm)</t>
  </si>
  <si>
    <t xml:space="preserve">Nom
(mm) | Nom
(inch) | OD
(mm) | ID
(mm) | Wall
(mm)</t>
  </si>
  <si>
    <t xml:space="preserve">17.6</t>
  </si>
  <si>
    <t xml:space="preserve">15 | 1/2 | 21.4 | 17.6 | 1.9</t>
  </si>
  <si>
    <t xml:space="preserve">22.8</t>
  </si>
  <si>
    <t xml:space="preserve">2.05</t>
  </si>
  <si>
    <t xml:space="preserve">20 | 3/4 | 26.9 | 22.8 | 2.05</t>
  </si>
  <si>
    <t xml:space="preserve">29.1</t>
  </si>
  <si>
    <t xml:space="preserve">2.35</t>
  </si>
  <si>
    <t xml:space="preserve">25 | 1 | 33.8 | 29.1 | 2.35</t>
  </si>
  <si>
    <t xml:space="preserve">37.6</t>
  </si>
  <si>
    <t xml:space="preserve">2.45</t>
  </si>
  <si>
    <t xml:space="preserve">32 | 1-1/4 | 42.5 | 37.6 | 2.45</t>
  </si>
  <si>
    <t xml:space="preserve">43.3</t>
  </si>
  <si>
    <t xml:space="preserve">2.55</t>
  </si>
  <si>
    <t xml:space="preserve">40 | 1-1/2 | 48.4 | 43.3 | 2.55</t>
  </si>
  <si>
    <t xml:space="preserve">55</t>
  </si>
  <si>
    <t xml:space="preserve">50 | 2 | 60.2 | 55 | 2.6</t>
  </si>
  <si>
    <t xml:space="preserve">70.4</t>
  </si>
  <si>
    <t xml:space="preserve">65 | 2-1/2 | 76 | 70.4 | 2.8</t>
  </si>
  <si>
    <t xml:space="preserve">82.8</t>
  </si>
  <si>
    <t xml:space="preserve">80 | 3 | 88.7 | 82.8 | 2.95</t>
  </si>
  <si>
    <t xml:space="preserve">107.5</t>
  </si>
  <si>
    <t xml:space="preserve">100 | 4 | 113.9 | 107.5 | 3.2</t>
  </si>
  <si>
    <t xml:space="preserve">Thickness/Length Tolerance: ±5% ~ ±10%  |  Standard as: British Standard 1387-1985 / MS 863  (Class B Medium and Class C Heavy data — see catalogue pages 11-12)</t>
  </si>
  <si>
    <r>
      <rPr>
        <sz val="11"/>
        <color theme="1"/>
        <rFont val="Calibri"/>
        <family val="2"/>
        <charset val="1"/>
      </rPr>
      <t xml:space="preserve">Hot-Rolled Steel Plates &amp; Sheets </t>
    </r>
    <r>
      <rPr>
        <sz val="11"/>
        <color theme="1"/>
        <rFont val="Noto Sans CJK SC"/>
        <family val="2"/>
      </rPr>
      <t xml:space="preserve">鐵板</t>
    </r>
  </si>
  <si>
    <t xml:space="preserve">Plate thickness × sheet size 4'×8', 4'×16', 5'×10', 5'×20'  |  Jin Yuan Fa Hardware Industries Pte Ltd</t>
  </si>
  <si>
    <t xml:space="preserve">Thickness (mm) — Unit Weight — Sheet Weights by Size (Kg/pc) &amp; Pcs/Mt</t>
  </si>
  <si>
    <t xml:space="preserve">T
(mm)</t>
  </si>
  <si>
    <t xml:space="preserve">Unit Wt
(Kg/ft²)</t>
  </si>
  <si>
    <t xml:space="preserve">4'×8'
1219×2438
Kg/pc</t>
  </si>
  <si>
    <t xml:space="preserve">4'×8'
pc/mt</t>
  </si>
  <si>
    <t xml:space="preserve">4'×16'
1219×4877
Kg/pc</t>
  </si>
  <si>
    <t xml:space="preserve">T
(mm) | Unit Wt
(Kg/ft²) | 4'×8'
1219×2438
Kg/pc | 4'×8'
pc/mt | 4'×16'
1219×4877
Kg/pc</t>
  </si>
  <si>
    <t xml:space="preserve">1.2</t>
  </si>
  <si>
    <t xml:space="preserve">0.875</t>
  </si>
  <si>
    <t xml:space="preserve">27.996</t>
  </si>
  <si>
    <t xml:space="preserve">35.7</t>
  </si>
  <si>
    <t xml:space="preserve">56</t>
  </si>
  <si>
    <t xml:space="preserve">1.2 | 0.875 | 27.996 | 35.7 | 56</t>
  </si>
  <si>
    <t xml:space="preserve">1.4</t>
  </si>
  <si>
    <t xml:space="preserve">1.021</t>
  </si>
  <si>
    <t xml:space="preserve">32.661</t>
  </si>
  <si>
    <t xml:space="preserve">30.6</t>
  </si>
  <si>
    <t xml:space="preserve">---</t>
  </si>
  <si>
    <t xml:space="preserve">1.4 | 1.021 | 32.661 | 30.6 | ---</t>
  </si>
  <si>
    <t xml:space="preserve">1.5</t>
  </si>
  <si>
    <t xml:space="preserve">1.094</t>
  </si>
  <si>
    <t xml:space="preserve">34.994</t>
  </si>
  <si>
    <t xml:space="preserve">28.6</t>
  </si>
  <si>
    <t xml:space="preserve">1.5 | 1.094 | 34.994 | 28.6 | 70</t>
  </si>
  <si>
    <t xml:space="preserve">1.167</t>
  </si>
  <si>
    <t xml:space="preserve">37.327</t>
  </si>
  <si>
    <t xml:space="preserve">26.8</t>
  </si>
  <si>
    <t xml:space="preserve">74.7</t>
  </si>
  <si>
    <t xml:space="preserve">1.6 | 1.167 | 37.327 | 26.8 | 74.7</t>
  </si>
  <si>
    <t xml:space="preserve">1.8</t>
  </si>
  <si>
    <t xml:space="preserve">1.313</t>
  </si>
  <si>
    <t xml:space="preserve">41.993</t>
  </si>
  <si>
    <t xml:space="preserve">1.8 | 1.313 | 41.993 | 23.8 | ---</t>
  </si>
  <si>
    <t xml:space="preserve">1.386</t>
  </si>
  <si>
    <t xml:space="preserve">44.326</t>
  </si>
  <si>
    <t xml:space="preserve">22.6</t>
  </si>
  <si>
    <t xml:space="preserve">1.9 | 1.386 | 44.326 | 22.6 | 88.7</t>
  </si>
  <si>
    <t xml:space="preserve">1.459</t>
  </si>
  <si>
    <t xml:space="preserve">46.659</t>
  </si>
  <si>
    <t xml:space="preserve">93.4</t>
  </si>
  <si>
    <t xml:space="preserve">2 | 1.459 | 46.659 | 21.4 | 93.4</t>
  </si>
  <si>
    <t xml:space="preserve">1.605</t>
  </si>
  <si>
    <t xml:space="preserve">51.325</t>
  </si>
  <si>
    <t xml:space="preserve">19.5</t>
  </si>
  <si>
    <t xml:space="preserve">2.2 | 1.605 | 51.325 | 19.5 | ---</t>
  </si>
  <si>
    <t xml:space="preserve">1.677</t>
  </si>
  <si>
    <t xml:space="preserve">53.658</t>
  </si>
  <si>
    <t xml:space="preserve">107</t>
  </si>
  <si>
    <t xml:space="preserve">2.3 | 1.677 | 53.658 | 18.6 | 107</t>
  </si>
  <si>
    <t xml:space="preserve">1.824</t>
  </si>
  <si>
    <t xml:space="preserve">58.324</t>
  </si>
  <si>
    <t xml:space="preserve">121</t>
  </si>
  <si>
    <t xml:space="preserve">2.5 | 1.824 | 58.324 | 17.1 | 121</t>
  </si>
  <si>
    <t xml:space="preserve">2.042</t>
  </si>
  <si>
    <t xml:space="preserve">65.323</t>
  </si>
  <si>
    <t xml:space="preserve">130.7</t>
  </si>
  <si>
    <t xml:space="preserve">2.8 | 2.042 | 65.323 | 15.3 | 130.7</t>
  </si>
  <si>
    <t xml:space="preserve">2.9</t>
  </si>
  <si>
    <t xml:space="preserve">67.656</t>
  </si>
  <si>
    <t xml:space="preserve">14.8</t>
  </si>
  <si>
    <t xml:space="preserve">2.9 | 2.12 | 67.656 | 14.8 | ---</t>
  </si>
  <si>
    <t xml:space="preserve">2.188</t>
  </si>
  <si>
    <t xml:space="preserve">69.989</t>
  </si>
  <si>
    <t xml:space="preserve">14.3</t>
  </si>
  <si>
    <t xml:space="preserve">140</t>
  </si>
  <si>
    <t xml:space="preserve">3 | 2.188 | 69.989 | 14.3 | 140</t>
  </si>
  <si>
    <t xml:space="preserve">2.334</t>
  </si>
  <si>
    <t xml:space="preserve">74.655</t>
  </si>
  <si>
    <t xml:space="preserve">148</t>
  </si>
  <si>
    <t xml:space="preserve">3.2 | 2.334 | 74.655 | 13.4 | 148</t>
  </si>
  <si>
    <t xml:space="preserve">2.917</t>
  </si>
  <si>
    <t xml:space="preserve">93.318</t>
  </si>
  <si>
    <t xml:space="preserve">186.7</t>
  </si>
  <si>
    <t xml:space="preserve">4 | 2.917 | 93.318 | 10.7 | 186.7</t>
  </si>
  <si>
    <t xml:space="preserve">4.3</t>
  </si>
  <si>
    <t xml:space="preserve">3.136</t>
  </si>
  <si>
    <t xml:space="preserve">100.317</t>
  </si>
  <si>
    <t xml:space="preserve">200.7</t>
  </si>
  <si>
    <t xml:space="preserve">4.3 | 3.136 | 100.317 | 10 | 200.7</t>
  </si>
  <si>
    <t xml:space="preserve">3.282</t>
  </si>
  <si>
    <t xml:space="preserve">104.983</t>
  </si>
  <si>
    <t xml:space="preserve">9.5</t>
  </si>
  <si>
    <t xml:space="preserve">4.5 | 3.282 | 104.983 | 9.5 | 210</t>
  </si>
  <si>
    <t xml:space="preserve">3.646</t>
  </si>
  <si>
    <t xml:space="preserve">116.648</t>
  </si>
  <si>
    <t xml:space="preserve">8.6</t>
  </si>
  <si>
    <t xml:space="preserve">233</t>
  </si>
  <si>
    <t xml:space="preserve">5 | 3.646 | 116.648 | 8.6 | 233</t>
  </si>
  <si>
    <t xml:space="preserve">4.23</t>
  </si>
  <si>
    <t xml:space="preserve">135.978</t>
  </si>
  <si>
    <t xml:space="preserve">270.72</t>
  </si>
  <si>
    <t xml:space="preserve">5.8 | 4.23 | 135.978 | 7.4 | 270.72</t>
  </si>
  <si>
    <t xml:space="preserve">4.376</t>
  </si>
  <si>
    <t xml:space="preserve">139.978</t>
  </si>
  <si>
    <t xml:space="preserve">7.1</t>
  </si>
  <si>
    <t xml:space="preserve">280</t>
  </si>
  <si>
    <t xml:space="preserve">6 | 4.376 | 139.978 | 7.1 | 280</t>
  </si>
  <si>
    <t xml:space="preserve">5.47</t>
  </si>
  <si>
    <t xml:space="preserve">174.972</t>
  </si>
  <si>
    <t xml:space="preserve">5.7</t>
  </si>
  <si>
    <t xml:space="preserve">7.5 | 5.47 | 174.972 | 5.7 | 350</t>
  </si>
  <si>
    <t xml:space="preserve">5.835</t>
  </si>
  <si>
    <t xml:space="preserve">186.637</t>
  </si>
  <si>
    <t xml:space="preserve">5.4</t>
  </si>
  <si>
    <t xml:space="preserve">373.38</t>
  </si>
  <si>
    <t xml:space="preserve">8 | 5.835 | 186.637 | 5.4 | 373.38</t>
  </si>
  <si>
    <t xml:space="preserve">6.564</t>
  </si>
  <si>
    <t xml:space="preserve">209.966</t>
  </si>
  <si>
    <t xml:space="preserve">4.8</t>
  </si>
  <si>
    <t xml:space="preserve">420.1</t>
  </si>
  <si>
    <t xml:space="preserve">9 | 6.564 | 209.966 | 4.8 | 420.1</t>
  </si>
  <si>
    <t xml:space="preserve">7.293</t>
  </si>
  <si>
    <t xml:space="preserve">233.296</t>
  </si>
  <si>
    <t xml:space="preserve">466.76</t>
  </si>
  <si>
    <t xml:space="preserve">10 | 7.293 | 233.296 | 4.3 | 466.76</t>
  </si>
  <si>
    <t xml:space="preserve">8.752</t>
  </si>
  <si>
    <t xml:space="preserve">280.064</t>
  </si>
  <si>
    <t xml:space="preserve">3.6</t>
  </si>
  <si>
    <t xml:space="preserve">560.12</t>
  </si>
  <si>
    <t xml:space="preserve">12 | 8.752 | 280.064 | 3.6 | 560.12</t>
  </si>
  <si>
    <t xml:space="preserve">10.94</t>
  </si>
  <si>
    <t xml:space="preserve">350.05</t>
  </si>
  <si>
    <t xml:space="preserve">700.16</t>
  </si>
  <si>
    <t xml:space="preserve">15 | 10.94 | 350.05 | 2.8 | 700.16</t>
  </si>
  <si>
    <t xml:space="preserve">11.67</t>
  </si>
  <si>
    <t xml:space="preserve">373.39</t>
  </si>
  <si>
    <t xml:space="preserve">746.88</t>
  </si>
  <si>
    <t xml:space="preserve">16 | 11.67 | 373.39 | 2.6 | 746.88</t>
  </si>
  <si>
    <t xml:space="preserve">13.13</t>
  </si>
  <si>
    <t xml:space="preserve">420.07</t>
  </si>
  <si>
    <t xml:space="preserve">840.32</t>
  </si>
  <si>
    <t xml:space="preserve">18 | 13.13 | 420.07 | 2.3 | 840.32</t>
  </si>
  <si>
    <t xml:space="preserve">13.86</t>
  </si>
  <si>
    <t xml:space="preserve">443.41</t>
  </si>
  <si>
    <t xml:space="preserve">887.04</t>
  </si>
  <si>
    <t xml:space="preserve">19 | 13.86 | 443.41 | 2.2 | 887.04</t>
  </si>
  <si>
    <t xml:space="preserve">14.59</t>
  </si>
  <si>
    <t xml:space="preserve">466.88</t>
  </si>
  <si>
    <t xml:space="preserve">933.76</t>
  </si>
  <si>
    <t xml:space="preserve">20 | 14.59 | 466.88 | 2.2 | 933.76</t>
  </si>
  <si>
    <t xml:space="preserve">16.04</t>
  </si>
  <si>
    <t xml:space="preserve">513.24</t>
  </si>
  <si>
    <t xml:space="preserve">1026.56</t>
  </si>
  <si>
    <t xml:space="preserve">22 | 16.04 | 513.24 | 1.9 | 1026.56</t>
  </si>
  <si>
    <t xml:space="preserve">17.5</t>
  </si>
  <si>
    <t xml:space="preserve">1120</t>
  </si>
  <si>
    <t xml:space="preserve">24 | 17.5 | 560 | 1.8 | 1120</t>
  </si>
  <si>
    <t xml:space="preserve">18.23</t>
  </si>
  <si>
    <t xml:space="preserve">583.43</t>
  </si>
  <si>
    <t xml:space="preserve">1.7</t>
  </si>
  <si>
    <t xml:space="preserve">1166.72</t>
  </si>
  <si>
    <t xml:space="preserve">25 | 18.23 | 583.43 | 1.7 | 1166.72</t>
  </si>
  <si>
    <t xml:space="preserve">21.88</t>
  </si>
  <si>
    <t xml:space="preserve">700</t>
  </si>
  <si>
    <t xml:space="preserve">1400.32</t>
  </si>
  <si>
    <t xml:space="preserve">30 | 21.88 | 700 | 1.4 | 1400.32</t>
  </si>
  <si>
    <t xml:space="preserve">23.34</t>
  </si>
  <si>
    <t xml:space="preserve">746.8</t>
  </si>
  <si>
    <t xml:space="preserve">1.3</t>
  </si>
  <si>
    <t xml:space="preserve">1493.76</t>
  </si>
  <si>
    <t xml:space="preserve">32 | 23.34 | 746.8 | 1.3 | 1493.76</t>
  </si>
  <si>
    <t xml:space="preserve">25.527</t>
  </si>
  <si>
    <t xml:space="preserve">816.064</t>
  </si>
  <si>
    <t xml:space="preserve">1634</t>
  </si>
  <si>
    <t xml:space="preserve">35 | 25.527 | 816.064 | 1.2 | 1634</t>
  </si>
  <si>
    <t xml:space="preserve">29.173</t>
  </si>
  <si>
    <t xml:space="preserve">933</t>
  </si>
  <si>
    <t xml:space="preserve">40 | 29.173 | 933 | 1 | ---</t>
  </si>
  <si>
    <t xml:space="preserve">32.82</t>
  </si>
  <si>
    <t xml:space="preserve">2100.48</t>
  </si>
  <si>
    <t xml:space="preserve">0.95</t>
  </si>
  <si>
    <t xml:space="preserve">45 | 32.82 | 2100.48 | 0.95 | ---</t>
  </si>
  <si>
    <t xml:space="preserve">36.467</t>
  </si>
  <si>
    <t xml:space="preserve">1167</t>
  </si>
  <si>
    <t xml:space="preserve">0.86</t>
  </si>
  <si>
    <t xml:space="preserve">50 | 36.467 | 1167 | 0.86 | ---</t>
  </si>
  <si>
    <t xml:space="preserve">Thickness/Length Tolerance: ±5% ~ ±10%  |  Standard as: EN S275JR, A36, A36-Cr, JIS SS400, SS400Cr  |  Standard Weight By JIS (0.7293kg/mm/ft²)</t>
  </si>
  <si>
    <r>
      <rPr>
        <sz val="11"/>
        <color theme="1"/>
        <rFont val="Calibri"/>
        <family val="2"/>
        <charset val="1"/>
      </rPr>
      <t xml:space="preserve">Chequered Plates </t>
    </r>
    <r>
      <rPr>
        <sz val="11"/>
        <color theme="1"/>
        <rFont val="Noto Sans CJK SC"/>
        <family val="2"/>
      </rPr>
      <t xml:space="preserve">花紋板 — </t>
    </r>
    <r>
      <rPr>
        <sz val="11"/>
        <color theme="1"/>
        <rFont val="Calibri"/>
        <family val="2"/>
        <charset val="1"/>
      </rPr>
      <t xml:space="preserve">Tread Plate Weight Table</t>
    </r>
  </si>
  <si>
    <t xml:space="preserve">Diamond/chequered tread plate — thickness vs sheet weight  |  Jin Yuan Fa Hardware Industries Pte Ltd</t>
  </si>
  <si>
    <t xml:space="preserve">Thickness (mm) — Weight by Sheet Size</t>
  </si>
  <si>
    <t xml:space="preserve">4'×8' (1219×2438mm)
Kg/pc</t>
  </si>
  <si>
    <t xml:space="preserve">5'×10' (1524×3048mm)
Kg/pc</t>
  </si>
  <si>
    <t xml:space="preserve">Thickness
(mm) | 4'×8' (1219×2438mm)
Kg/pc | 5'×10' (1524×3048mm)
Kg/pc</t>
  </si>
  <si>
    <t xml:space="preserve">58.67</t>
  </si>
  <si>
    <t xml:space="preserve">91.87</t>
  </si>
  <si>
    <t xml:space="preserve">2.3 | 58.67 | 91.87</t>
  </si>
  <si>
    <t xml:space="preserve">63.5</t>
  </si>
  <si>
    <t xml:space="preserve">99.16</t>
  </si>
  <si>
    <t xml:space="preserve">2.5 | 63.5 | 99.16</t>
  </si>
  <si>
    <t xml:space="preserve">70.35</t>
  </si>
  <si>
    <t xml:space="preserve">110.1</t>
  </si>
  <si>
    <t xml:space="preserve">2.8 | 70.35 | 110.1</t>
  </si>
  <si>
    <t xml:space="preserve">75.869</t>
  </si>
  <si>
    <t xml:space="preserve">117.336</t>
  </si>
  <si>
    <t xml:space="preserve">3 | 75.869 | 117.336</t>
  </si>
  <si>
    <t xml:space="preserve">79.735</t>
  </si>
  <si>
    <t xml:space="preserve">124.629</t>
  </si>
  <si>
    <t xml:space="preserve">3.2 | 79.735 | 124.629</t>
  </si>
  <si>
    <t xml:space="preserve">98.398</t>
  </si>
  <si>
    <t xml:space="preserve">153.801</t>
  </si>
  <si>
    <t xml:space="preserve">4 | 98.398 | 153.801</t>
  </si>
  <si>
    <t xml:space="preserve">105.394</t>
  </si>
  <si>
    <t xml:space="preserve">164.74</t>
  </si>
  <si>
    <t xml:space="preserve">4.3 | 105.394 | 164.74</t>
  </si>
  <si>
    <t xml:space="preserve">110.063</t>
  </si>
  <si>
    <t xml:space="preserve">172.033</t>
  </si>
  <si>
    <t xml:space="preserve">4.5 | 110.063 | 172.033</t>
  </si>
  <si>
    <t xml:space="preserve">121.7</t>
  </si>
  <si>
    <t xml:space="preserve">190.35</t>
  </si>
  <si>
    <t xml:space="preserve">5 | 121.7 | 190.35</t>
  </si>
  <si>
    <t xml:space="preserve">133.36</t>
  </si>
  <si>
    <t xml:space="preserve">208.56</t>
  </si>
  <si>
    <t xml:space="preserve">5.5 | 133.36 | 208.56</t>
  </si>
  <si>
    <t xml:space="preserve">140.392</t>
  </si>
  <si>
    <t xml:space="preserve">219.437</t>
  </si>
  <si>
    <t xml:space="preserve">5.8 | 140.392 | 219.437</t>
  </si>
  <si>
    <t xml:space="preserve">145.057</t>
  </si>
  <si>
    <t xml:space="preserve">226.73</t>
  </si>
  <si>
    <t xml:space="preserve">6 | 145.057 | 226.73</t>
  </si>
  <si>
    <t xml:space="preserve">180.052</t>
  </si>
  <si>
    <t xml:space="preserve">281.426</t>
  </si>
  <si>
    <t xml:space="preserve">7.5 | 180.052 | 281.426</t>
  </si>
  <si>
    <t xml:space="preserve">191.717</t>
  </si>
  <si>
    <t xml:space="preserve">299.659</t>
  </si>
  <si>
    <t xml:space="preserve">8 | 191.717 | 299.659</t>
  </si>
  <si>
    <t xml:space="preserve">215.046</t>
  </si>
  <si>
    <t xml:space="preserve">336.123</t>
  </si>
  <si>
    <t xml:space="preserve">9 | 215.046 | 336.123</t>
  </si>
  <si>
    <t xml:space="preserve">238.376</t>
  </si>
  <si>
    <t xml:space="preserve">372.587</t>
  </si>
  <si>
    <t xml:space="preserve">10 | 238.376 | 372.587</t>
  </si>
  <si>
    <t xml:space="preserve">285.035</t>
  </si>
  <si>
    <t xml:space="preserve">445.516</t>
  </si>
  <si>
    <t xml:space="preserve">12 | 285.035 | 445.516</t>
  </si>
  <si>
    <t xml:space="preserve">Thickness/Length Tolerance: ±5% ~ ±10%  |  Standard as: EN S275JR, A36, A36-Cr, JIS SS400, SS400Cr</t>
  </si>
  <si>
    <r>
      <rPr>
        <sz val="11"/>
        <color theme="1"/>
        <rFont val="Calibri"/>
        <family val="2"/>
        <charset val="1"/>
      </rPr>
      <t xml:space="preserve">Square Hollow Sections </t>
    </r>
    <r>
      <rPr>
        <sz val="11"/>
        <color theme="1"/>
        <rFont val="Noto Sans CJK SC"/>
        <family val="2"/>
      </rPr>
      <t xml:space="preserve">四方管 — </t>
    </r>
    <r>
      <rPr>
        <sz val="11"/>
        <color theme="1"/>
        <rFont val="Calibri"/>
        <family val="2"/>
        <charset val="1"/>
      </rPr>
      <t xml:space="preserve">Wall Thickness &amp; Weight</t>
    </r>
  </si>
  <si>
    <t xml:space="preserve">Nominal size (mm &amp; inch), wall thickness, calculated weight  |  Jin Yuan Fa Hardware Industries Pte Ltd</t>
  </si>
  <si>
    <t xml:space="preserve">Nominal Size — Wall Thickness — Calculated Weight</t>
  </si>
  <si>
    <t xml:space="preserve">Nom Size
(mm)</t>
  </si>
  <si>
    <t xml:space="preserve">Nom Size
(inch)</t>
  </si>
  <si>
    <t xml:space="preserve">Wall
Thickness
(mm)</t>
  </si>
  <si>
    <t xml:space="preserve">Calc. Wt
(kg/m)</t>
  </si>
  <si>
    <t xml:space="preserve">Calc. Wt
(kg/6m)</t>
  </si>
  <si>
    <t xml:space="preserve">Nom Size
(mm) | Nom Size
(inch) | Wall
Thickness
(mm) | Calc. Wt
(kg/m) | Calc. Wt
(kg/6m)</t>
  </si>
  <si>
    <t xml:space="preserve">12x12</t>
  </si>
  <si>
    <t xml:space="preserve">1/2x1/2</t>
  </si>
  <si>
    <t xml:space="preserve">0.339</t>
  </si>
  <si>
    <t xml:space="preserve">2.032</t>
  </si>
  <si>
    <t xml:space="preserve">12x12 | 1/2x1/2 | 1 | 0.339 | 2.032</t>
  </si>
  <si>
    <t xml:space="preserve">0.397</t>
  </si>
  <si>
    <t xml:space="preserve">2.383</t>
  </si>
  <si>
    <t xml:space="preserve">12 | — | 1.2 | 0.397 | 2.383</t>
  </si>
  <si>
    <t xml:space="preserve">0.505</t>
  </si>
  <si>
    <t xml:space="preserve">3.03</t>
  </si>
  <si>
    <t xml:space="preserve">12 | — | 1.6 | 0.505 | 3.03</t>
  </si>
  <si>
    <t xml:space="preserve">16x16</t>
  </si>
  <si>
    <t xml:space="preserve">5/8x5/8</t>
  </si>
  <si>
    <t xml:space="preserve">0.464</t>
  </si>
  <si>
    <t xml:space="preserve">2.768</t>
  </si>
  <si>
    <t xml:space="preserve">16x16 | 5/8x5/8 | 1 | 0.464 | 2.768</t>
  </si>
  <si>
    <t xml:space="preserve">0.548</t>
  </si>
  <si>
    <t xml:space="preserve">3.288</t>
  </si>
  <si>
    <t xml:space="preserve">16 | — | 1.2 | 0.548 | 3.288</t>
  </si>
  <si>
    <t xml:space="preserve">0.706</t>
  </si>
  <si>
    <t xml:space="preserve">4.237</t>
  </si>
  <si>
    <t xml:space="preserve">16 | — | 1.6 | 0.706 | 4.237</t>
  </si>
  <si>
    <t xml:space="preserve">19x19</t>
  </si>
  <si>
    <t xml:space="preserve">3/4x3/4</t>
  </si>
  <si>
    <t xml:space="preserve">0.559</t>
  </si>
  <si>
    <t xml:space="preserve">3.351</t>
  </si>
  <si>
    <t xml:space="preserve">19x19 | 3/4x3/4 | 1 | 0.559 | 3.351</t>
  </si>
  <si>
    <t xml:space="preserve">0.661</t>
  </si>
  <si>
    <t xml:space="preserve">3.966</t>
  </si>
  <si>
    <t xml:space="preserve">19 | — | 1.2 | 0.661 | 3.966</t>
  </si>
  <si>
    <t xml:space="preserve">0.857</t>
  </si>
  <si>
    <t xml:space="preserve">5.142</t>
  </si>
  <si>
    <t xml:space="preserve">19 | — | 1.6 | 0.857 | 5.142</t>
  </si>
  <si>
    <t xml:space="preserve">1x1</t>
  </si>
  <si>
    <t xml:space="preserve">0.747</t>
  </si>
  <si>
    <t xml:space="preserve">4.482</t>
  </si>
  <si>
    <t xml:space="preserve">25x25 | 1x1 | 1 | 0.747 | 4.482</t>
  </si>
  <si>
    <t xml:space="preserve">0.887</t>
  </si>
  <si>
    <t xml:space="preserve">5.322</t>
  </si>
  <si>
    <t xml:space="preserve">25 | — | 1.2 | 0.887 | 5.322</t>
  </si>
  <si>
    <t xml:space="preserve">1.16</t>
  </si>
  <si>
    <t xml:space="preserve">6.96</t>
  </si>
  <si>
    <t xml:space="preserve">25 | — | 1.6 | 1.16 | 6.96</t>
  </si>
  <si>
    <t xml:space="preserve">1.29</t>
  </si>
  <si>
    <t xml:space="preserve">7.74</t>
  </si>
  <si>
    <t xml:space="preserve">25 | — | 1.8 | 1.29 | 7.74</t>
  </si>
  <si>
    <t xml:space="preserve">25 | — | 2.3 | 1.6 | 9.6</t>
  </si>
  <si>
    <t xml:space="preserve">25 | — | 3 | 2.01 | 12.06</t>
  </si>
  <si>
    <t xml:space="preserve">25 | — | 3.2 | 2.12 | 12.72</t>
  </si>
  <si>
    <t xml:space="preserve">1.08</t>
  </si>
  <si>
    <t xml:space="preserve">6.48</t>
  </si>
  <si>
    <t xml:space="preserve">30x30 | — | 1.2 | 1.08 | 6.48</t>
  </si>
  <si>
    <t xml:space="preserve">30 | — | 1.6 | 1.41 | 8.46</t>
  </si>
  <si>
    <t xml:space="preserve">30 | — | 1.8 | 1.57 | 9.42</t>
  </si>
  <si>
    <t xml:space="preserve">1.97</t>
  </si>
  <si>
    <t xml:space="preserve">11.82</t>
  </si>
  <si>
    <t xml:space="preserve">30 | — | 2.3 | 1.97 | 11.82</t>
  </si>
  <si>
    <t xml:space="preserve">2.48</t>
  </si>
  <si>
    <t xml:space="preserve">14.88</t>
  </si>
  <si>
    <t xml:space="preserve">30 | — | 3 | 2.48 | 14.88</t>
  </si>
  <si>
    <t xml:space="preserve">2.62</t>
  </si>
  <si>
    <t xml:space="preserve">15.72</t>
  </si>
  <si>
    <t xml:space="preserve">30 | — | 3.2 | 2.62 | 15.72</t>
  </si>
  <si>
    <t xml:space="preserve">32x32</t>
  </si>
  <si>
    <t xml:space="preserve">1-1/4x1-1/4</t>
  </si>
  <si>
    <t xml:space="preserve">1.15</t>
  </si>
  <si>
    <t xml:space="preserve">32x32 | 1-1/4x1-1/4 | 1.2 | 1.15 | 6.9</t>
  </si>
  <si>
    <t xml:space="preserve">32 | — | 1.6 | 1.51 | 9.06</t>
  </si>
  <si>
    <t xml:space="preserve">1.69</t>
  </si>
  <si>
    <t xml:space="preserve">10.14</t>
  </si>
  <si>
    <t xml:space="preserve">32 | — | 1.8 | 1.69 | 10.14</t>
  </si>
  <si>
    <t xml:space="preserve">1.86</t>
  </si>
  <si>
    <t xml:space="preserve">11.16</t>
  </si>
  <si>
    <t xml:space="preserve">32 | — | 2 | 1.86 | 11.16</t>
  </si>
  <si>
    <t xml:space="preserve">2.11</t>
  </si>
  <si>
    <t xml:space="preserve">12.66</t>
  </si>
  <si>
    <t xml:space="preserve">32 | — | 2.3 | 2.11 | 12.66</t>
  </si>
  <si>
    <t xml:space="preserve">2.67</t>
  </si>
  <si>
    <t xml:space="preserve">16.02</t>
  </si>
  <si>
    <t xml:space="preserve">32 | — | 3 | 2.67 | 16.02</t>
  </si>
  <si>
    <t xml:space="preserve">2.83</t>
  </si>
  <si>
    <t xml:space="preserve">16.98</t>
  </si>
  <si>
    <t xml:space="preserve">32 | — | 3.2 | 2.83 | 16.98</t>
  </si>
  <si>
    <t xml:space="preserve">1-1/2x1-1/2</t>
  </si>
  <si>
    <t xml:space="preserve">1.38</t>
  </si>
  <si>
    <t xml:space="preserve">38x38 | 1-1/2x1-1/2 | 1.2 | 1.38 | 8.28</t>
  </si>
  <si>
    <t xml:space="preserve">38</t>
  </si>
  <si>
    <t xml:space="preserve">1.81</t>
  </si>
  <si>
    <t xml:space="preserve">10.86</t>
  </si>
  <si>
    <t xml:space="preserve">38 | — | 1.6 | 1.81 | 10.86</t>
  </si>
  <si>
    <t xml:space="preserve">2.02</t>
  </si>
  <si>
    <t xml:space="preserve">12.12</t>
  </si>
  <si>
    <t xml:space="preserve">38 | — | 1.8 | 2.02 | 12.12</t>
  </si>
  <si>
    <t xml:space="preserve">2.23</t>
  </si>
  <si>
    <t xml:space="preserve">13.38</t>
  </si>
  <si>
    <t xml:space="preserve">38x38 | 1-1/2x1-1/2 | 2 | 2.23 | 13.38</t>
  </si>
  <si>
    <t xml:space="preserve">2.54</t>
  </si>
  <si>
    <t xml:space="preserve">15.24</t>
  </si>
  <si>
    <t xml:space="preserve">38 | — | 2.3 | 2.54 | 15.24</t>
  </si>
  <si>
    <t xml:space="preserve">38 | — | 3 | 3.24 | 19.44</t>
  </si>
  <si>
    <t xml:space="preserve">3.43</t>
  </si>
  <si>
    <t xml:space="preserve">20.58</t>
  </si>
  <si>
    <t xml:space="preserve">38 | — | 3.2 | 3.43 | 20.58</t>
  </si>
  <si>
    <t xml:space="preserve">1.43</t>
  </si>
  <si>
    <t xml:space="preserve">8.58</t>
  </si>
  <si>
    <t xml:space="preserve">40x40 | — | 1.2 | 1.43 | 8.58</t>
  </si>
  <si>
    <t xml:space="preserve">40 | — | 1.6 | 1.88 | 11.28</t>
  </si>
  <si>
    <t xml:space="preserve">2.09</t>
  </si>
  <si>
    <t xml:space="preserve">12.54</t>
  </si>
  <si>
    <t xml:space="preserve">40 | — | 1.8 | 2.09 | 12.54</t>
  </si>
  <si>
    <t xml:space="preserve">40 | — | 1.9 | 2.2 | 13.2</t>
  </si>
  <si>
    <t xml:space="preserve">2.31</t>
  </si>
  <si>
    <t xml:space="preserve">40 | — | 2 | 2.31 | 13.86</t>
  </si>
  <si>
    <t xml:space="preserve">40 | — | 2.3 | 2.62 | 15.72</t>
  </si>
  <si>
    <t xml:space="preserve">3.3</t>
  </si>
  <si>
    <t xml:space="preserve">19.8</t>
  </si>
  <si>
    <t xml:space="preserve">40 | — | 3 | 3.3 | 19.8</t>
  </si>
  <si>
    <t xml:space="preserve">20.94</t>
  </si>
  <si>
    <t xml:space="preserve">40 | — | 3.2 | 3.49 | 20.94</t>
  </si>
  <si>
    <t xml:space="preserve">2x2</t>
  </si>
  <si>
    <t xml:space="preserve">2.41</t>
  </si>
  <si>
    <t xml:space="preserve">14.46</t>
  </si>
  <si>
    <t xml:space="preserve">50x50 | 2x2 | 1.6 | 2.41 | 14.46</t>
  </si>
  <si>
    <t xml:space="preserve">16.2</t>
  </si>
  <si>
    <t xml:space="preserve">50 | — | 1.8 | 2.7 | 16.2</t>
  </si>
  <si>
    <t xml:space="preserve">16.8</t>
  </si>
  <si>
    <t xml:space="preserve">50 | — | 1.9 | 2.8 | 16.8</t>
  </si>
  <si>
    <t xml:space="preserve">3.41</t>
  </si>
  <si>
    <t xml:space="preserve">20.46</t>
  </si>
  <si>
    <t xml:space="preserve">50 | — | 2.3 | 3.41 | 20.46</t>
  </si>
  <si>
    <t xml:space="preserve">4.25</t>
  </si>
  <si>
    <t xml:space="preserve">25.5</t>
  </si>
  <si>
    <t xml:space="preserve">50 | — | 3 | 4.25 | 25.5</t>
  </si>
  <si>
    <t xml:space="preserve">50 | — | 3.2 | 4.5 | 27</t>
  </si>
  <si>
    <t xml:space="preserve">5.45</t>
  </si>
  <si>
    <t xml:space="preserve">32.7</t>
  </si>
  <si>
    <t xml:space="preserve">50 | — | 4 | 5.45 | 32.7</t>
  </si>
  <si>
    <t xml:space="preserve">6.02</t>
  </si>
  <si>
    <t xml:space="preserve">36.12</t>
  </si>
  <si>
    <t xml:space="preserve">50 | — | 4.5 | 6.02 | 36.12</t>
  </si>
  <si>
    <t xml:space="preserve">50 | — | 5 | 6.56 | 39.36</t>
  </si>
  <si>
    <t xml:space="preserve">7.56</t>
  </si>
  <si>
    <t xml:space="preserve">45.36</t>
  </si>
  <si>
    <t xml:space="preserve">50 | — | 6 | 7.56 | 45.36</t>
  </si>
  <si>
    <t xml:space="preserve">60x60 | — | 1.6 | 2.88 | 17.28</t>
  </si>
  <si>
    <t xml:space="preserve">60</t>
  </si>
  <si>
    <t xml:space="preserve">60 | — | 2.3 | 4.06 | 24.36</t>
  </si>
  <si>
    <t xml:space="preserve">60 | — | 3 | 5.18 | 31.08</t>
  </si>
  <si>
    <t xml:space="preserve">60 | — | 3.2 | 5.5 | 33</t>
  </si>
  <si>
    <t xml:space="preserve">60 | — | 4 | 6.71 | 40.26</t>
  </si>
  <si>
    <t xml:space="preserve">60 | — | 4.5 | 7.43 | 44.58</t>
  </si>
  <si>
    <t xml:space="preserve">2-1/2x2-1/2</t>
  </si>
  <si>
    <t xml:space="preserve">4.42</t>
  </si>
  <si>
    <t xml:space="preserve">26.52</t>
  </si>
  <si>
    <t xml:space="preserve">65x65 | 2-1/2x2-1/2 | 2.3 | 4.42 | 26.52</t>
  </si>
  <si>
    <t xml:space="preserve">5.66</t>
  </si>
  <si>
    <t xml:space="preserve">33.96</t>
  </si>
  <si>
    <t xml:space="preserve">65 | — | 3 | 5.66 | 33.96</t>
  </si>
  <si>
    <t xml:space="preserve">65 | — | 3.2 | 6 | 36</t>
  </si>
  <si>
    <t xml:space="preserve">7.34</t>
  </si>
  <si>
    <t xml:space="preserve">44.04</t>
  </si>
  <si>
    <t xml:space="preserve">65 | — | 4 | 7.34 | 44.04</t>
  </si>
  <si>
    <t xml:space="preserve">3x3</t>
  </si>
  <si>
    <t xml:space="preserve">5.14</t>
  </si>
  <si>
    <t xml:space="preserve">30.84</t>
  </si>
  <si>
    <t xml:space="preserve">75x75 | 3x3 | 2.3 | 5.14 | 30.84</t>
  </si>
  <si>
    <t xml:space="preserve">75</t>
  </si>
  <si>
    <t xml:space="preserve">75 | — | 3 | 6.6 | 39.6</t>
  </si>
  <si>
    <t xml:space="preserve">7.01</t>
  </si>
  <si>
    <t xml:space="preserve">42.06</t>
  </si>
  <si>
    <t xml:space="preserve">75 | — | 3.2 | 7.01 | 42.06</t>
  </si>
  <si>
    <t xml:space="preserve">51.6</t>
  </si>
  <si>
    <t xml:space="preserve">75 | — | 4 | 8.6 | 51.6</t>
  </si>
  <si>
    <t xml:space="preserve">9.55</t>
  </si>
  <si>
    <t xml:space="preserve">57.3</t>
  </si>
  <si>
    <t xml:space="preserve">75 | — | 4.5 | 9.55 | 57.3</t>
  </si>
  <si>
    <t xml:space="preserve">10.5</t>
  </si>
  <si>
    <t xml:space="preserve">63</t>
  </si>
  <si>
    <t xml:space="preserve">75 | — | 5 | 10.5 | 63</t>
  </si>
  <si>
    <t xml:space="preserve">75 | — | 6 | 12.3 | 73.8</t>
  </si>
  <si>
    <t xml:space="preserve">3-1/2x3-1/2</t>
  </si>
  <si>
    <t xml:space="preserve">6.23</t>
  </si>
  <si>
    <t xml:space="preserve">37.38</t>
  </si>
  <si>
    <t xml:space="preserve">90x90 | 3-1/2x3-1/2 | 2.3 | 6.23 | 37.38</t>
  </si>
  <si>
    <t xml:space="preserve">90 | — | 3 | 8.01 | 48.06</t>
  </si>
  <si>
    <t xml:space="preserve">8.52</t>
  </si>
  <si>
    <t xml:space="preserve">51.12</t>
  </si>
  <si>
    <t xml:space="preserve">90 | — | 3.2 | 8.52 | 51.12</t>
  </si>
  <si>
    <t xml:space="preserve">90 | — | 4 | 10.5 | 63</t>
  </si>
  <si>
    <t xml:space="preserve">90 | — | 4.5 | 11.7 | 70.2</t>
  </si>
  <si>
    <t xml:space="preserve">90 | — | 5 | 12.8 | 76.8</t>
  </si>
  <si>
    <t xml:space="preserve">15.1</t>
  </si>
  <si>
    <t xml:space="preserve">90.6</t>
  </si>
  <si>
    <t xml:space="preserve">90 | — | 6 | 15.1 | 90.6</t>
  </si>
  <si>
    <t xml:space="preserve">4x4</t>
  </si>
  <si>
    <t xml:space="preserve">7.78</t>
  </si>
  <si>
    <t xml:space="preserve">46.68</t>
  </si>
  <si>
    <t xml:space="preserve">100x100 | 4x4 | 2.3 | 7.78 | 46.68</t>
  </si>
  <si>
    <t xml:space="preserve">8.96</t>
  </si>
  <si>
    <t xml:space="preserve">53.76</t>
  </si>
  <si>
    <t xml:space="preserve">100 | — | 3 | 8.96 | 53.76</t>
  </si>
  <si>
    <t xml:space="preserve">100 | — | 3.2 | 9.52 | 57.12</t>
  </si>
  <si>
    <t xml:space="preserve">100 | — | 4 | 11.7 | 70.2</t>
  </si>
  <si>
    <t xml:space="preserve">100 | — | 4.5 | 13.1 | 78.6</t>
  </si>
  <si>
    <t xml:space="preserve">100 | — | 5 | 14.4 | 86.4</t>
  </si>
  <si>
    <t xml:space="preserve">100 | — | 6 | 17 | 102</t>
  </si>
  <si>
    <t xml:space="preserve">24.1</t>
  </si>
  <si>
    <t xml:space="preserve">144.6</t>
  </si>
  <si>
    <t xml:space="preserve">100 | — | 9 | 24.1 | 144.6</t>
  </si>
  <si>
    <t xml:space="preserve">5x5</t>
  </si>
  <si>
    <t xml:space="preserve">125x125 | 5x5 | 3 | 11.3 | 67.8</t>
  </si>
  <si>
    <t xml:space="preserve">125 | — | 4 | 14.9 | 89.4</t>
  </si>
  <si>
    <t xml:space="preserve">125 | — | 4.5 | 16.6 | 99.6</t>
  </si>
  <si>
    <t xml:space="preserve">18.3</t>
  </si>
  <si>
    <t xml:space="preserve">109.8</t>
  </si>
  <si>
    <t xml:space="preserve">125 | — | 5 | 18.3 | 109.8</t>
  </si>
  <si>
    <t xml:space="preserve">130.2</t>
  </si>
  <si>
    <t xml:space="preserve">125 | — | 6 | 21.7 | 130.2</t>
  </si>
  <si>
    <t xml:space="preserve">30.1</t>
  </si>
  <si>
    <t xml:space="preserve">186.6</t>
  </si>
  <si>
    <t xml:space="preserve">125 | — | 9 | 30.1 | 186.6</t>
  </si>
  <si>
    <t xml:space="preserve">6x6</t>
  </si>
  <si>
    <t xml:space="preserve">22.3</t>
  </si>
  <si>
    <t xml:space="preserve">133.8</t>
  </si>
  <si>
    <t xml:space="preserve">150x150 | 6x6 | 4.5 | 22.3 | 133.8</t>
  </si>
  <si>
    <t xml:space="preserve">150 | — | 5 | 22.3 | 133.8</t>
  </si>
  <si>
    <t xml:space="preserve">158.4</t>
  </si>
  <si>
    <t xml:space="preserve">150 | — | 6 | 26.4 | 158.4</t>
  </si>
  <si>
    <t xml:space="preserve">38.2</t>
  </si>
  <si>
    <t xml:space="preserve">229.2</t>
  </si>
  <si>
    <t xml:space="preserve">150 | — | 9 | 38.2 | 229.2</t>
  </si>
  <si>
    <t xml:space="preserve">150 | — | 12 | 49.1 | 294.6</t>
  </si>
  <si>
    <t xml:space="preserve">7x7</t>
  </si>
  <si>
    <t xml:space="preserve">26.2</t>
  </si>
  <si>
    <t xml:space="preserve">157.2</t>
  </si>
  <si>
    <t xml:space="preserve">175x175 | 7x7 | 5 | 26.2 | 157.2</t>
  </si>
  <si>
    <t xml:space="preserve">31.1</t>
  </si>
  <si>
    <t xml:space="preserve">175 | — | 6 | 31.1 | 186.6</t>
  </si>
  <si>
    <t xml:space="preserve">175 | — | 9 | 45.3 | 271.8</t>
  </si>
  <si>
    <t xml:space="preserve">58.5</t>
  </si>
  <si>
    <t xml:space="preserve">351</t>
  </si>
  <si>
    <t xml:space="preserve">175 | — | 12 | 58.5 | 351</t>
  </si>
  <si>
    <t xml:space="preserve">8x8</t>
  </si>
  <si>
    <t xml:space="preserve">35.8</t>
  </si>
  <si>
    <t xml:space="preserve">214.8</t>
  </si>
  <si>
    <t xml:space="preserve">200x200 | 8x8 | 6 | 35.8 | 214.8</t>
  </si>
  <si>
    <t xml:space="preserve">46.9</t>
  </si>
  <si>
    <t xml:space="preserve">281.4</t>
  </si>
  <si>
    <t xml:space="preserve">200 | — | 8 | 46.9 | 281.4</t>
  </si>
  <si>
    <t xml:space="preserve">52.3</t>
  </si>
  <si>
    <t xml:space="preserve">313.8</t>
  </si>
  <si>
    <t xml:space="preserve">200 | — | 9 | 52.3 | 313.8</t>
  </si>
  <si>
    <t xml:space="preserve">67.9</t>
  </si>
  <si>
    <t xml:space="preserve">407.4</t>
  </si>
  <si>
    <t xml:space="preserve">200 | — | 12 | 67.9 | 407.4</t>
  </si>
  <si>
    <t xml:space="preserve">10x10</t>
  </si>
  <si>
    <t xml:space="preserve">45.2</t>
  </si>
  <si>
    <t xml:space="preserve">271.2</t>
  </si>
  <si>
    <t xml:space="preserve">250x250 | 10x10 | 6 | 45.2 | 271.2</t>
  </si>
  <si>
    <t xml:space="preserve">59.5</t>
  </si>
  <si>
    <t xml:space="preserve">357</t>
  </si>
  <si>
    <t xml:space="preserve">250 | — | 8 | 59.5 | 357</t>
  </si>
  <si>
    <t xml:space="preserve">66.5</t>
  </si>
  <si>
    <t xml:space="preserve">399</t>
  </si>
  <si>
    <t xml:space="preserve">250 | — | 9 | 66.5 | 399</t>
  </si>
  <si>
    <t xml:space="preserve">86.8</t>
  </si>
  <si>
    <t xml:space="preserve">520.8</t>
  </si>
  <si>
    <t xml:space="preserve">250 | — | 12 | 86.8 | 520.8</t>
  </si>
  <si>
    <t xml:space="preserve">112</t>
  </si>
  <si>
    <t xml:space="preserve">672</t>
  </si>
  <si>
    <t xml:space="preserve">250 | — | 16 | 112 | 672</t>
  </si>
  <si>
    <t xml:space="preserve">300x300</t>
  </si>
  <si>
    <t xml:space="preserve">54.7</t>
  </si>
  <si>
    <t xml:space="preserve">328.2</t>
  </si>
  <si>
    <t xml:space="preserve">300x300 | 12x12 | 6 | 54.7 | 328.2</t>
  </si>
  <si>
    <t xml:space="preserve">80.6</t>
  </si>
  <si>
    <t xml:space="preserve">483.6</t>
  </si>
  <si>
    <t xml:space="preserve">300 | — | 9 | 80.6 | 483.6</t>
  </si>
  <si>
    <t xml:space="preserve">106</t>
  </si>
  <si>
    <t xml:space="preserve">636</t>
  </si>
  <si>
    <t xml:space="preserve">300 | — | 12 | 106 | 636</t>
  </si>
  <si>
    <t xml:space="preserve">828</t>
  </si>
  <si>
    <t xml:space="preserve">300 | — | 16 | 138 | 828</t>
  </si>
  <si>
    <t xml:space="preserve">350x350</t>
  </si>
  <si>
    <t xml:space="preserve">14x14</t>
  </si>
  <si>
    <t xml:space="preserve">94.7</t>
  </si>
  <si>
    <t xml:space="preserve">568.2</t>
  </si>
  <si>
    <t xml:space="preserve">350x350 | 14x14 | 9 | 94.7 | 568.2</t>
  </si>
  <si>
    <t xml:space="preserve">124</t>
  </si>
  <si>
    <t xml:space="preserve">744</t>
  </si>
  <si>
    <t xml:space="preserve">350 | — | 12 | 124 | 744</t>
  </si>
  <si>
    <t xml:space="preserve">163</t>
  </si>
  <si>
    <t xml:space="preserve">978</t>
  </si>
  <si>
    <t xml:space="preserve">350 | — | 16 | 163 | 978</t>
  </si>
  <si>
    <t xml:space="preserve">1140</t>
  </si>
  <si>
    <t xml:space="preserve">350 | — | 19 | 190 | 1140</t>
  </si>
  <si>
    <t xml:space="preserve">400x400</t>
  </si>
  <si>
    <t xml:space="preserve">109</t>
  </si>
  <si>
    <t xml:space="preserve">654</t>
  </si>
  <si>
    <t xml:space="preserve">400x400 | 16x16 | 9 | 109 | 654</t>
  </si>
  <si>
    <t xml:space="preserve">143</t>
  </si>
  <si>
    <t xml:space="preserve">858</t>
  </si>
  <si>
    <t xml:space="preserve">400 | — | 12 | 143 | 858</t>
  </si>
  <si>
    <t xml:space="preserve">188</t>
  </si>
  <si>
    <t xml:space="preserve">1128</t>
  </si>
  <si>
    <t xml:space="preserve">400 | — | 16 | 188 | 1128</t>
  </si>
  <si>
    <t xml:space="preserve">1320</t>
  </si>
  <si>
    <t xml:space="preserve">400 | — | 19 | 220 | 1320</t>
  </si>
  <si>
    <t xml:space="preserve">Thickness/Length Tolerance: ±5% ~ ±10%  |  Standard as: EN S275JR, S275JR-Cr, ASTM A36, A36-Cr JIS SS400, SS400Cr</t>
  </si>
  <si>
    <r>
      <rPr>
        <sz val="11"/>
        <color theme="1"/>
        <rFont val="Calibri"/>
        <family val="2"/>
        <charset val="1"/>
      </rPr>
      <t xml:space="preserve">Rectangular Hollow Sections </t>
    </r>
    <r>
      <rPr>
        <sz val="11"/>
        <color theme="1"/>
        <rFont val="Noto Sans CJK SC"/>
        <family val="2"/>
      </rPr>
      <t xml:space="preserve">扁管 — </t>
    </r>
    <r>
      <rPr>
        <sz val="11"/>
        <color theme="1"/>
        <rFont val="Calibri"/>
        <family val="2"/>
        <charset val="1"/>
      </rPr>
      <t xml:space="preserve">Wall Thickness &amp; Weight</t>
    </r>
  </si>
  <si>
    <t xml:space="preserve">Nominal Size — Wall Thickness (mm) — Calculated Weight</t>
  </si>
  <si>
    <t xml:space="preserve">Nom W
(mm)</t>
  </si>
  <si>
    <t xml:space="preserve">Nom H
(mm/inch)</t>
  </si>
  <si>
    <t xml:space="preserve">Wall
Thick
(mm)</t>
  </si>
  <si>
    <t xml:space="preserve">Nom W
(mm) | Nom H
(mm/inch) | Wall
Thick
(mm) | Kg/m | Kg/6m</t>
  </si>
  <si>
    <t xml:space="preserve">19x9</t>
  </si>
  <si>
    <t xml:space="preserve">3/4x3/8</t>
  </si>
  <si>
    <t xml:space="preserve">0.401</t>
  </si>
  <si>
    <t xml:space="preserve">2.406</t>
  </si>
  <si>
    <t xml:space="preserve">19x9 | 3/4x3/8 | 1 | 0.401 | 2.406</t>
  </si>
  <si>
    <t xml:space="preserve">0.473</t>
  </si>
  <si>
    <t xml:space="preserve">2.838</t>
  </si>
  <si>
    <t xml:space="preserve">19 | 9 | 1.2 | 0.473 | 2.838</t>
  </si>
  <si>
    <t xml:space="preserve">0.606</t>
  </si>
  <si>
    <t xml:space="preserve">3.636</t>
  </si>
  <si>
    <t xml:space="preserve">19 | 9 | 1.6 | 0.606 | 3.636</t>
  </si>
  <si>
    <t xml:space="preserve">25x12</t>
  </si>
  <si>
    <t xml:space="preserve">1x1/2</t>
  </si>
  <si>
    <t xml:space="preserve">0.543</t>
  </si>
  <si>
    <t xml:space="preserve">3.258</t>
  </si>
  <si>
    <t xml:space="preserve">25x12 | 1x1/2 | 1 | 0.543 | 3.258</t>
  </si>
  <si>
    <t xml:space="preserve">0.642</t>
  </si>
  <si>
    <t xml:space="preserve">3.852</t>
  </si>
  <si>
    <t xml:space="preserve">25 | 12 | 1.2 | 0.642 | 3.852</t>
  </si>
  <si>
    <t xml:space="preserve">0.832</t>
  </si>
  <si>
    <t xml:space="preserve">4.992</t>
  </si>
  <si>
    <t xml:space="preserve">25 | 12 | 1.6 | 0.832 | 4.992</t>
  </si>
  <si>
    <t xml:space="preserve">32x16</t>
  </si>
  <si>
    <t xml:space="preserve">1-1/4x5/8</t>
  </si>
  <si>
    <t xml:space="preserve">0.716</t>
  </si>
  <si>
    <t xml:space="preserve">4.296</t>
  </si>
  <si>
    <t xml:space="preserve">32x16 | 1-1/4x5/8 | 1 | 0.716 | 4.296</t>
  </si>
  <si>
    <t xml:space="preserve">0.849</t>
  </si>
  <si>
    <t xml:space="preserve">5.094</t>
  </si>
  <si>
    <t xml:space="preserve">32 | 16 | 1.2 | 0.849 | 5.094</t>
  </si>
  <si>
    <t xml:space="preserve">1.11</t>
  </si>
  <si>
    <t xml:space="preserve">6.66</t>
  </si>
  <si>
    <t xml:space="preserve">32 | 16 | 1.6 | 1.11 | 6.66</t>
  </si>
  <si>
    <t xml:space="preserve">38x12</t>
  </si>
  <si>
    <t xml:space="preserve">1-1/2x1/2</t>
  </si>
  <si>
    <t xml:space="preserve">0.766</t>
  </si>
  <si>
    <t xml:space="preserve">4.596</t>
  </si>
  <si>
    <t xml:space="preserve">38x12 | 1-1/2x1/2 | 1 | 0.766 | 4.596</t>
  </si>
  <si>
    <t xml:space="preserve">0.912</t>
  </si>
  <si>
    <t xml:space="preserve">5.472</t>
  </si>
  <si>
    <t xml:space="preserve">38 | 12 | 1.2 | 0.912 | 5.472</t>
  </si>
  <si>
    <t xml:space="preserve">1.196</t>
  </si>
  <si>
    <t xml:space="preserve">7.176</t>
  </si>
  <si>
    <t xml:space="preserve">38 | 12 | 1.6 | 1.196 | 7.176</t>
  </si>
  <si>
    <t xml:space="preserve">38x19</t>
  </si>
  <si>
    <t xml:space="preserve">1-1/2x3/4</t>
  </si>
  <si>
    <t xml:space="preserve">38x19 | 1-1/2x3/4 | 1 | 0.857 | 5.142</t>
  </si>
  <si>
    <t xml:space="preserve">1.02</t>
  </si>
  <si>
    <t xml:space="preserve">38 | 19 | 1.2 | 1.02 | 6.12</t>
  </si>
  <si>
    <t xml:space="preserve">7.98</t>
  </si>
  <si>
    <t xml:space="preserve">38 | 19 | 1.6 | 1.34 | 7.98</t>
  </si>
  <si>
    <t xml:space="preserve">38x25</t>
  </si>
  <si>
    <t xml:space="preserve">1-1/2x1</t>
  </si>
  <si>
    <t xml:space="preserve">0.951</t>
  </si>
  <si>
    <t xml:space="preserve">5.706</t>
  </si>
  <si>
    <t xml:space="preserve">38x25 | 1-1/2x1 | 1 | 0.951 | 5.706</t>
  </si>
  <si>
    <t xml:space="preserve">38 | 25 | 1.2 | 1.13 | 6.78</t>
  </si>
  <si>
    <t xml:space="preserve">1.49</t>
  </si>
  <si>
    <t xml:space="preserve">8.94</t>
  </si>
  <si>
    <t xml:space="preserve">38 | 25 | 1.6 | 1.49 | 8.94</t>
  </si>
  <si>
    <t xml:space="preserve">50x25</t>
  </si>
  <si>
    <t xml:space="preserve">2x1</t>
  </si>
  <si>
    <t xml:space="preserve">50x25 | 2x1 | 1.2 | 1.36 | 8.16</t>
  </si>
  <si>
    <t xml:space="preserve">50 | 25 | 1.6 | 1.79 | 10.74</t>
  </si>
  <si>
    <t xml:space="preserve">2.51</t>
  </si>
  <si>
    <t xml:space="preserve">15.06</t>
  </si>
  <si>
    <t xml:space="preserve">50 | 25 | 2.3 | 2.51 | 15.06</t>
  </si>
  <si>
    <t xml:space="preserve">3.19</t>
  </si>
  <si>
    <t xml:space="preserve">19.14</t>
  </si>
  <si>
    <t xml:space="preserve">50 | 25 | 3 | 3.19 | 19.14</t>
  </si>
  <si>
    <t xml:space="preserve">50 | 25 | 3.2 | 3.38 | 20.28</t>
  </si>
  <si>
    <t xml:space="preserve">65x38</t>
  </si>
  <si>
    <t xml:space="preserve">2-1/2x1-1/2</t>
  </si>
  <si>
    <t xml:space="preserve">2.49</t>
  </si>
  <si>
    <t xml:space="preserve">14.94</t>
  </si>
  <si>
    <t xml:space="preserve">65x38 | 2-1/2x1-1/2 | 1.6 | 2.49 | 14.94</t>
  </si>
  <si>
    <t xml:space="preserve">65 | 38 | 1.9 | 2.88 | 17.28</t>
  </si>
  <si>
    <t xml:space="preserve">65 | 38 | 2.3 | 3.52 | 21.12</t>
  </si>
  <si>
    <t xml:space="preserve">4.39</t>
  </si>
  <si>
    <t xml:space="preserve">26.34</t>
  </si>
  <si>
    <t xml:space="preserve">65 | 38 | 3 | 4.39 | 26.34</t>
  </si>
  <si>
    <t xml:space="preserve">4.65</t>
  </si>
  <si>
    <t xml:space="preserve">27.9</t>
  </si>
  <si>
    <t xml:space="preserve">65 | 38 | 3.2 | 4.65 | 27.9</t>
  </si>
  <si>
    <t xml:space="preserve">5.64</t>
  </si>
  <si>
    <t xml:space="preserve">33.84</t>
  </si>
  <si>
    <t xml:space="preserve">65 | 38 | 4 | 5.64 | 33.84</t>
  </si>
  <si>
    <t xml:space="preserve">75x25</t>
  </si>
  <si>
    <t xml:space="preserve">3x1</t>
  </si>
  <si>
    <t xml:space="preserve">2.38</t>
  </si>
  <si>
    <t xml:space="preserve">14.28</t>
  </si>
  <si>
    <t xml:space="preserve">75x25 | 3x1 | 1.6 | 2.38 | 14.28</t>
  </si>
  <si>
    <t xml:space="preserve">75 | 25 | 1.9 | 2.8 | 16.8</t>
  </si>
  <si>
    <t xml:space="preserve">75x38</t>
  </si>
  <si>
    <t xml:space="preserve">3x1-1/2</t>
  </si>
  <si>
    <t xml:space="preserve">3.34</t>
  </si>
  <si>
    <t xml:space="preserve">20.04</t>
  </si>
  <si>
    <t xml:space="preserve">75x38 | 3x1-1/2 | 2.3 | 3.34 | 20.04</t>
  </si>
  <si>
    <t xml:space="preserve">75 | 38 | 3 | 4.25 | 25.5</t>
  </si>
  <si>
    <t xml:space="preserve">75 | 38 | 4 | 5.45 | 32.7</t>
  </si>
  <si>
    <t xml:space="preserve">75 | 38 | 4.5 | 6.02 | 36.12</t>
  </si>
  <si>
    <t xml:space="preserve">2.71</t>
  </si>
  <si>
    <t xml:space="preserve">16.26</t>
  </si>
  <si>
    <t xml:space="preserve">75x38 | 3x1-1/2 | 1.6 | 2.71 | 16.26</t>
  </si>
  <si>
    <t xml:space="preserve">19.08</t>
  </si>
  <si>
    <t xml:space="preserve">75 | 38 | 1.9 | 3.18 | 19.08</t>
  </si>
  <si>
    <t xml:space="preserve">3.81</t>
  </si>
  <si>
    <t xml:space="preserve">22.86</t>
  </si>
  <si>
    <t xml:space="preserve">75 | 38 | 2.3 | 3.81 | 22.86</t>
  </si>
  <si>
    <t xml:space="preserve">4.86</t>
  </si>
  <si>
    <t xml:space="preserve">29.16</t>
  </si>
  <si>
    <t xml:space="preserve">75 | 38 | 3 | 4.86 | 29.16</t>
  </si>
  <si>
    <t xml:space="preserve">75 | 38 | 3.2 | 5.15 | 30.9</t>
  </si>
  <si>
    <t xml:space="preserve">6.27</t>
  </si>
  <si>
    <t xml:space="preserve">37.62</t>
  </si>
  <si>
    <t xml:space="preserve">75 | 38 | 4 | 6.27 | 37.62</t>
  </si>
  <si>
    <t xml:space="preserve">75 | 38 | 4.5 | 6.94 | 41.64</t>
  </si>
  <si>
    <t xml:space="preserve">3x2</t>
  </si>
  <si>
    <t xml:space="preserve">3.54</t>
  </si>
  <si>
    <t xml:space="preserve">21.24</t>
  </si>
  <si>
    <t xml:space="preserve">75x50 | 3x2 | 1.9 | 3.54 | 21.24</t>
  </si>
  <si>
    <t xml:space="preserve">75 | 50 | 2.3 | 4.24 | 25.44</t>
  </si>
  <si>
    <t xml:space="preserve">75 | 50 | 3 | 5.42 | 32.52</t>
  </si>
  <si>
    <t xml:space="preserve">5.75</t>
  </si>
  <si>
    <t xml:space="preserve">34.5</t>
  </si>
  <si>
    <t xml:space="preserve">75 | 50 | 3.2 | 5.75 | 34.5</t>
  </si>
  <si>
    <t xml:space="preserve">7.02</t>
  </si>
  <si>
    <t xml:space="preserve">42.12</t>
  </si>
  <si>
    <t xml:space="preserve">75 | 50 | 4 | 7.02 | 42.12</t>
  </si>
  <si>
    <t xml:space="preserve">7.79</t>
  </si>
  <si>
    <t xml:space="preserve">46.74</t>
  </si>
  <si>
    <t xml:space="preserve">75 | 50 | 4.5 | 7.79 | 46.74</t>
  </si>
  <si>
    <t xml:space="preserve">8.53</t>
  </si>
  <si>
    <t xml:space="preserve">51.18</t>
  </si>
  <si>
    <t xml:space="preserve">75 | 50 | 5 | 8.53 | 51.18</t>
  </si>
  <si>
    <t xml:space="preserve">9.92</t>
  </si>
  <si>
    <t xml:space="preserve">59.52</t>
  </si>
  <si>
    <t xml:space="preserve">75 | 50 | 6 | 9.92 | 59.52</t>
  </si>
  <si>
    <t xml:space="preserve">100x50</t>
  </si>
  <si>
    <t xml:space="preserve">4x2</t>
  </si>
  <si>
    <t xml:space="preserve">4.29</t>
  </si>
  <si>
    <t xml:space="preserve">25.74</t>
  </si>
  <si>
    <t xml:space="preserve">100x50 | 4x2 | 1.9 | 4.29 | 25.74</t>
  </si>
  <si>
    <t xml:space="preserve">100 | 50 | 2.3 | 5.14 | 30.84</t>
  </si>
  <si>
    <t xml:space="preserve">100 | 50 | 3 | 6.6 | 39.6</t>
  </si>
  <si>
    <t xml:space="preserve">100 | 50 | 3.2 | 7.01 | 42.06</t>
  </si>
  <si>
    <t xml:space="preserve">100 | 50 | 4 | 8.6 | 51.6</t>
  </si>
  <si>
    <t xml:space="preserve">100 | 50 | 4.5 | 9.55 | 57.3</t>
  </si>
  <si>
    <t xml:space="preserve">100 | 50 | 5 | 10.5 | 63</t>
  </si>
  <si>
    <t xml:space="preserve">100 | 50 | 6 | 12.3 | 73.8</t>
  </si>
  <si>
    <t xml:space="preserve">4x3</t>
  </si>
  <si>
    <t xml:space="preserve">100x75 | 4x3 | 3 | 7.78 | 46.68</t>
  </si>
  <si>
    <t xml:space="preserve">8.26</t>
  </si>
  <si>
    <t xml:space="preserve">49.56</t>
  </si>
  <si>
    <t xml:space="preserve">100 | 75 | 3.2 | 8.26 | 49.56</t>
  </si>
  <si>
    <t xml:space="preserve">100 | 75 | 4 | 10.2 | 61.2</t>
  </si>
  <si>
    <t xml:space="preserve">100 | 75 | 4.5 | 11.3 | 67.8</t>
  </si>
  <si>
    <t xml:space="preserve">12.5</t>
  </si>
  <si>
    <t xml:space="preserve">100 | 75 | 5 | 12.5 | 75</t>
  </si>
  <si>
    <t xml:space="preserve">100 | 75 | 6 | 14.6 | 87.6</t>
  </si>
  <si>
    <t xml:space="preserve">125x50</t>
  </si>
  <si>
    <t xml:space="preserve">5x2</t>
  </si>
  <si>
    <t xml:space="preserve">125x50 | 5x2 | 3 | 8.96 | 53.76</t>
  </si>
  <si>
    <t xml:space="preserve">125 | 50 | 3.2 | 9.52 | 57.12</t>
  </si>
  <si>
    <t xml:space="preserve">125 | 50 | 4 | 11.7 | 70.2</t>
  </si>
  <si>
    <t xml:space="preserve">125 | 50 | 4.5 | 13.1 | 78.6</t>
  </si>
  <si>
    <t xml:space="preserve">125 | 50 | 5 | 14.4 | 86.4</t>
  </si>
  <si>
    <t xml:space="preserve">125 | 50 | 6 | 17 | 102</t>
  </si>
  <si>
    <t xml:space="preserve">5x3</t>
  </si>
  <si>
    <t xml:space="preserve">125x75 | 5x3 | 3 | 8.96 | 53.76</t>
  </si>
  <si>
    <t xml:space="preserve">125 | 75 | 3.2 | 9.52 | 57.12</t>
  </si>
  <si>
    <t xml:space="preserve">125 | 75 | 4 | 11.7 | 70.2</t>
  </si>
  <si>
    <t xml:space="preserve">125 | 75 | 4.5 | 13.1 | 78.6</t>
  </si>
  <si>
    <t xml:space="preserve">88.8</t>
  </si>
  <si>
    <t xml:space="preserve">125 | 75 | 5 | 14.8 | 88.8</t>
  </si>
  <si>
    <t xml:space="preserve">125 | 75 | 6 | 17 | 102</t>
  </si>
  <si>
    <t xml:space="preserve">150x50</t>
  </si>
  <si>
    <t xml:space="preserve">6x2</t>
  </si>
  <si>
    <t xml:space="preserve">150x50 | 6x2 | 3 | 10.1 | 60.6</t>
  </si>
  <si>
    <t xml:space="preserve">150 | 50 | 3.2 | 10.8 | 64.8</t>
  </si>
  <si>
    <t xml:space="preserve">150 | 50 | 4 | 13.3 | 79.8</t>
  </si>
  <si>
    <t xml:space="preserve">150 | 50 | 4.5 | 14.9 | 89.4</t>
  </si>
  <si>
    <t xml:space="preserve">16.4</t>
  </si>
  <si>
    <t xml:space="preserve">98.4</t>
  </si>
  <si>
    <t xml:space="preserve">150 | 50 | 5 | 16.4 | 98.4</t>
  </si>
  <si>
    <t xml:space="preserve">19.3</t>
  </si>
  <si>
    <t xml:space="preserve">115.8</t>
  </si>
  <si>
    <t xml:space="preserve">150 | 50 | 6 | 19.3 | 115.8</t>
  </si>
  <si>
    <t xml:space="preserve">27.6</t>
  </si>
  <si>
    <t xml:space="preserve">165.6</t>
  </si>
  <si>
    <t xml:space="preserve">150 | 50 | 9 | 27.6 | 165.6</t>
  </si>
  <si>
    <t xml:space="preserve">6x3</t>
  </si>
  <si>
    <t xml:space="preserve">150x75 | 6x3 | 3 | 10.1 | 60.6</t>
  </si>
  <si>
    <t xml:space="preserve">150 | 75 | 3.2 | 10.8 | 64.8</t>
  </si>
  <si>
    <t xml:space="preserve">150 | 75 | 4 | 13.3 | 79.8</t>
  </si>
  <si>
    <t xml:space="preserve">150 | 75 | 4.5 | 14.9 | 89.4</t>
  </si>
  <si>
    <t xml:space="preserve">150 | 75 | 5 | 16.4 | 98.4</t>
  </si>
  <si>
    <t xml:space="preserve">150 | 75 | 6 | 19.3 | 115.8</t>
  </si>
  <si>
    <t xml:space="preserve">150 | 75 | 9 | 27.6 | 165.6</t>
  </si>
  <si>
    <t xml:space="preserve">6x4</t>
  </si>
  <si>
    <t xml:space="preserve">150x100 | 6x4 | 4.5 | 20.1 | 120.6</t>
  </si>
  <si>
    <t xml:space="preserve">150 | 100 | 5 | 20.1 | 120.6</t>
  </si>
  <si>
    <t xml:space="preserve">150 | 100 | 6 | 26.4 | 158.4</t>
  </si>
  <si>
    <t xml:space="preserve">150 | 100 | 9 | 38.2 | 229.2</t>
  </si>
  <si>
    <t xml:space="preserve">150 | 100 | 12 | 49.1 | 294.6</t>
  </si>
  <si>
    <t xml:space="preserve">8x4</t>
  </si>
  <si>
    <t xml:space="preserve">108</t>
  </si>
  <si>
    <t xml:space="preserve">200x100 | 8x4 | 4 | 18 | 108</t>
  </si>
  <si>
    <t xml:space="preserve">20.2</t>
  </si>
  <si>
    <t xml:space="preserve">121.2</t>
  </si>
  <si>
    <t xml:space="preserve">200 | 100 | 4.5 | 20.2 | 121.2</t>
  </si>
  <si>
    <t xml:space="preserve">200 | 100 | 5 | 22.3 | 133.8</t>
  </si>
  <si>
    <t xml:space="preserve">200 | 100 | 6 | 26.4 | 158.4</t>
  </si>
  <si>
    <t xml:space="preserve">200 | 100 | 9 | 38.2 | 229.2</t>
  </si>
  <si>
    <t xml:space="preserve">200 | 100 | 12 | 49.1 | 294.6</t>
  </si>
  <si>
    <t xml:space="preserve">250x150</t>
  </si>
  <si>
    <t xml:space="preserve">10x6</t>
  </si>
  <si>
    <t xml:space="preserve">250x150 | 10x6 | 6 | 35.8 | 214.8</t>
  </si>
  <si>
    <t xml:space="preserve">250 | 150 | 9 | 52.3 | 313.8</t>
  </si>
  <si>
    <t xml:space="preserve">250 | 150 | 12 | 67.9 | 407.4</t>
  </si>
  <si>
    <t xml:space="preserve">300x200</t>
  </si>
  <si>
    <t xml:space="preserve">12x8</t>
  </si>
  <si>
    <t xml:space="preserve">300x200 | 12x8 | 6 | 45.2 | 271.2</t>
  </si>
  <si>
    <t xml:space="preserve">300 | 200 | 9 | 66.5 | 399</t>
  </si>
  <si>
    <t xml:space="preserve">300 | 200 | 12 | 86.8 | 520.8</t>
  </si>
  <si>
    <t xml:space="preserve">300 | 200 | 16 | 112 | 672</t>
  </si>
  <si>
    <t xml:space="preserve">350x250</t>
  </si>
  <si>
    <t xml:space="preserve">14x10</t>
  </si>
  <si>
    <t xml:space="preserve">350x250 | 14x10 | 6 | 54.7 | 328.2</t>
  </si>
  <si>
    <t xml:space="preserve">350 | 250 | 9 | 80.6 | 483.6</t>
  </si>
  <si>
    <t xml:space="preserve">350 | 250 | 12 | 106 | 636</t>
  </si>
  <si>
    <t xml:space="preserve">350 | 250 | 16 | 138 | 828</t>
  </si>
  <si>
    <t xml:space="preserve">400x200</t>
  </si>
  <si>
    <t xml:space="preserve">16x8</t>
  </si>
  <si>
    <t xml:space="preserve">400x200 | 16x8 | 9 | 94.7 | 568.2</t>
  </si>
  <si>
    <t xml:space="preserve">400 | 200 | 12 | 124 | 744</t>
  </si>
  <si>
    <t xml:space="preserve">400 | 200 | 16 | 163 | 978</t>
  </si>
  <si>
    <t xml:space="preserve">400 | 200 | 19 | 190 | 1140</t>
  </si>
  <si>
    <t xml:space="preserve">400x300</t>
  </si>
  <si>
    <t xml:space="preserve">16x12</t>
  </si>
  <si>
    <t xml:space="preserve">400x300 | 16x12 | 9 | 109 | 654</t>
  </si>
  <si>
    <t xml:space="preserve">400 | 300 | 12 | 143 | 858</t>
  </si>
  <si>
    <t xml:space="preserve">400 | 300 | 16 | 188 | 1128</t>
  </si>
  <si>
    <t xml:space="preserve">400 | 300 | 19 | 220 | 1320</t>
  </si>
  <si>
    <r>
      <rPr>
        <sz val="11"/>
        <color theme="1"/>
        <rFont val="Calibri"/>
        <family val="2"/>
        <charset val="1"/>
      </rPr>
      <t xml:space="preserve">Square Bar / Round Bar / Hexagonal Bar </t>
    </r>
    <r>
      <rPr>
        <sz val="11"/>
        <color theme="1"/>
        <rFont val="Noto Sans CJK SC"/>
        <family val="2"/>
      </rPr>
      <t xml:space="preserve">四方鐵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Noto Sans CJK SC"/>
        <family val="2"/>
      </rPr>
      <t xml:space="preserve">圓鐵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Noto Sans CJK SC"/>
        <family val="2"/>
      </rPr>
      <t xml:space="preserve">六角白車芯</t>
    </r>
  </si>
  <si>
    <t xml:space="preserve">Section area, unit weight per metre  |  Jin Yuan Fa Hardware Industries Pte Ltd</t>
  </si>
  <si>
    <r>
      <rPr>
        <sz val="11"/>
        <color theme="1"/>
        <rFont val="Calibri"/>
        <family val="2"/>
        <charset val="1"/>
      </rPr>
      <t xml:space="preserve">SQUARE BAR </t>
    </r>
    <r>
      <rPr>
        <sz val="11"/>
        <color theme="1"/>
        <rFont val="Noto Sans CJK SC"/>
        <family val="2"/>
      </rPr>
      <t xml:space="preserve">四方鐵</t>
    </r>
  </si>
  <si>
    <t xml:space="preserve">Size
(mm)</t>
  </si>
  <si>
    <t xml:space="preserve">Section Area
(mm²)</t>
  </si>
  <si>
    <t xml:space="preserve">Size
(mm) | Section Area
(mm²) | Unit Weight
(Kg/m)</t>
  </si>
  <si>
    <t xml:space="preserve">6 | 36 | 0.283</t>
  </si>
  <si>
    <t xml:space="preserve">64</t>
  </si>
  <si>
    <t xml:space="preserve">0.502</t>
  </si>
  <si>
    <t xml:space="preserve">8 | 64 | 0.502</t>
  </si>
  <si>
    <t xml:space="preserve">9 | 81 | 0.636</t>
  </si>
  <si>
    <t xml:space="preserve">10 | 100 | 0.785</t>
  </si>
  <si>
    <t xml:space="preserve">144</t>
  </si>
  <si>
    <t xml:space="preserve">12 | 144 | 1.13</t>
  </si>
  <si>
    <t xml:space="preserve">169</t>
  </si>
  <si>
    <t xml:space="preserve">13 | 169 | 1.33</t>
  </si>
  <si>
    <t xml:space="preserve">15 | 225 | 1.77</t>
  </si>
  <si>
    <t xml:space="preserve">256</t>
  </si>
  <si>
    <t xml:space="preserve">16 | 256 | 2.01</t>
  </si>
  <si>
    <t xml:space="preserve">324</t>
  </si>
  <si>
    <t xml:space="preserve">18 | 324 | 2.54</t>
  </si>
  <si>
    <t xml:space="preserve">361</t>
  </si>
  <si>
    <t xml:space="preserve">19 | 361 | 2.83</t>
  </si>
  <si>
    <t xml:space="preserve">20 | 400 | 3.14</t>
  </si>
  <si>
    <t xml:space="preserve">484</t>
  </si>
  <si>
    <t xml:space="preserve">22 | 484 | 3.8</t>
  </si>
  <si>
    <t xml:space="preserve">625</t>
  </si>
  <si>
    <t xml:space="preserve">4.91</t>
  </si>
  <si>
    <t xml:space="preserve">25 | 625 | 4.91</t>
  </si>
  <si>
    <t xml:space="preserve">784</t>
  </si>
  <si>
    <t xml:space="preserve">6.15</t>
  </si>
  <si>
    <t xml:space="preserve">28 | 784 | 6.15</t>
  </si>
  <si>
    <t xml:space="preserve">900</t>
  </si>
  <si>
    <t xml:space="preserve">30 | 900 | 7.06</t>
  </si>
  <si>
    <t xml:space="preserve">1024</t>
  </si>
  <si>
    <t xml:space="preserve">32 | 1024 | 8.04</t>
  </si>
  <si>
    <t xml:space="preserve">1225</t>
  </si>
  <si>
    <t xml:space="preserve">9.62</t>
  </si>
  <si>
    <t xml:space="preserve">35 | 1225 | 9.62</t>
  </si>
  <si>
    <t xml:space="preserve">1296</t>
  </si>
  <si>
    <t xml:space="preserve">36 | 1296 | 10.2</t>
  </si>
  <si>
    <t xml:space="preserve">1444</t>
  </si>
  <si>
    <t xml:space="preserve">11.33</t>
  </si>
  <si>
    <t xml:space="preserve">38 | 1444 | 11.33</t>
  </si>
  <si>
    <t xml:space="preserve">1600</t>
  </si>
  <si>
    <t xml:space="preserve">40 | 1600 | 12.6</t>
  </si>
  <si>
    <t xml:space="preserve">44</t>
  </si>
  <si>
    <t xml:space="preserve">1936</t>
  </si>
  <si>
    <t xml:space="preserve">15.2</t>
  </si>
  <si>
    <t xml:space="preserve">44 | 1936 | 15.2</t>
  </si>
  <si>
    <t xml:space="preserve">2025</t>
  </si>
  <si>
    <t xml:space="preserve">15.896</t>
  </si>
  <si>
    <t xml:space="preserve">45 | 2025 | 15.896</t>
  </si>
  <si>
    <t xml:space="preserve">2500</t>
  </si>
  <si>
    <t xml:space="preserve">19.63</t>
  </si>
  <si>
    <t xml:space="preserve">50 | 2500 | 19.63</t>
  </si>
  <si>
    <t xml:space="preserve">3025</t>
  </si>
  <si>
    <t xml:space="preserve">23.75</t>
  </si>
  <si>
    <t xml:space="preserve">55 | 3025 | 23.75</t>
  </si>
  <si>
    <t xml:space="preserve">3600</t>
  </si>
  <si>
    <t xml:space="preserve">60 | 3600 | 28.26</t>
  </si>
  <si>
    <t xml:space="preserve">4225</t>
  </si>
  <si>
    <t xml:space="preserve">65 | 4225 | 33.2</t>
  </si>
  <si>
    <t xml:space="preserve">4900</t>
  </si>
  <si>
    <t xml:space="preserve">38.5</t>
  </si>
  <si>
    <t xml:space="preserve">70 | 4900 | 38.5</t>
  </si>
  <si>
    <t xml:space="preserve">5625</t>
  </si>
  <si>
    <t xml:space="preserve">44.2</t>
  </si>
  <si>
    <t xml:space="preserve">75 | 5625 | 44.2</t>
  </si>
  <si>
    <t xml:space="preserve">6400</t>
  </si>
  <si>
    <t xml:space="preserve">50.24</t>
  </si>
  <si>
    <t xml:space="preserve">80 | 6400 | 50.24</t>
  </si>
  <si>
    <t xml:space="preserve">85</t>
  </si>
  <si>
    <t xml:space="preserve">7225</t>
  </si>
  <si>
    <t xml:space="preserve">56.72</t>
  </si>
  <si>
    <t xml:space="preserve">85 | 7225 | 56.72</t>
  </si>
  <si>
    <t xml:space="preserve">8100</t>
  </si>
  <si>
    <t xml:space="preserve">90 | 8100 | 63.6</t>
  </si>
  <si>
    <t xml:space="preserve">95</t>
  </si>
  <si>
    <t xml:space="preserve">9025</t>
  </si>
  <si>
    <t xml:space="preserve">70.85</t>
  </si>
  <si>
    <t xml:space="preserve">95 | 9025 | 70.85</t>
  </si>
  <si>
    <t xml:space="preserve">10000</t>
  </si>
  <si>
    <t xml:space="preserve">78.5</t>
  </si>
  <si>
    <t xml:space="preserve">100 | 10000 | 78.5</t>
  </si>
  <si>
    <t xml:space="preserve">12100</t>
  </si>
  <si>
    <t xml:space="preserve">110 | 12100 | 95</t>
  </si>
  <si>
    <t xml:space="preserve">120</t>
  </si>
  <si>
    <t xml:space="preserve">14400</t>
  </si>
  <si>
    <t xml:space="preserve">120 | 14400 | 113</t>
  </si>
  <si>
    <t xml:space="preserve">130</t>
  </si>
  <si>
    <t xml:space="preserve">16900</t>
  </si>
  <si>
    <t xml:space="preserve">133</t>
  </si>
  <si>
    <t xml:space="preserve">130 | 16900 | 133</t>
  </si>
  <si>
    <t xml:space="preserve">19600</t>
  </si>
  <si>
    <t xml:space="preserve">154</t>
  </si>
  <si>
    <t xml:space="preserve">140 | 19600 | 154</t>
  </si>
  <si>
    <t xml:space="preserve">22500</t>
  </si>
  <si>
    <t xml:space="preserve">177</t>
  </si>
  <si>
    <t xml:space="preserve">150 | 22500 | 177</t>
  </si>
  <si>
    <t xml:space="preserve">25600</t>
  </si>
  <si>
    <t xml:space="preserve">201</t>
  </si>
  <si>
    <t xml:space="preserve">160 | 25600 | 201</t>
  </si>
  <si>
    <r>
      <rPr>
        <sz val="11"/>
        <color theme="1"/>
        <rFont val="Calibri"/>
        <family val="2"/>
        <charset val="1"/>
      </rPr>
      <t xml:space="preserve">ROUND BAR </t>
    </r>
    <r>
      <rPr>
        <sz val="11"/>
        <color theme="1"/>
        <rFont val="Noto Sans CJK SC"/>
        <family val="2"/>
      </rPr>
      <t xml:space="preserve">圓鐵</t>
    </r>
  </si>
  <si>
    <t xml:space="preserve">Diameter
(mm)</t>
  </si>
  <si>
    <t xml:space="preserve">Unit Wt
(Kg/m)</t>
  </si>
  <si>
    <t xml:space="preserve">Unit Wt
(Kg/6m)</t>
  </si>
  <si>
    <t xml:space="preserve">Diameter
(mm) | Unit Wt
(Kg/m) | Unit Wt
(Kg/6m)</t>
  </si>
  <si>
    <t xml:space="preserve">0.222</t>
  </si>
  <si>
    <t xml:space="preserve">1.332</t>
  </si>
  <si>
    <t xml:space="preserve">6 | 0.222 | 1.332</t>
  </si>
  <si>
    <t xml:space="preserve">0.395</t>
  </si>
  <si>
    <t xml:space="preserve">2.37</t>
  </si>
  <si>
    <t xml:space="preserve">8 | 0.395 | 2.37</t>
  </si>
  <si>
    <t xml:space="preserve">0.499</t>
  </si>
  <si>
    <t xml:space="preserve">2.994</t>
  </si>
  <si>
    <t xml:space="preserve">9 | 0.499 | 2.994</t>
  </si>
  <si>
    <t xml:space="preserve">0.617</t>
  </si>
  <si>
    <t xml:space="preserve">3.702</t>
  </si>
  <si>
    <t xml:space="preserve">10 | 0.617 | 3.702</t>
  </si>
  <si>
    <t xml:space="preserve">0.888</t>
  </si>
  <si>
    <t xml:space="preserve">5.328</t>
  </si>
  <si>
    <t xml:space="preserve">12 | 0.888 | 5.328</t>
  </si>
  <si>
    <t xml:space="preserve">13 | 1.04 | 6.24</t>
  </si>
  <si>
    <t xml:space="preserve">1.39</t>
  </si>
  <si>
    <t xml:space="preserve">8.34</t>
  </si>
  <si>
    <t xml:space="preserve">15 | 1.39 | 8.34</t>
  </si>
  <si>
    <t xml:space="preserve">1.58</t>
  </si>
  <si>
    <t xml:space="preserve">9.48</t>
  </si>
  <si>
    <t xml:space="preserve">16 | 1.58 | 9.48</t>
  </si>
  <si>
    <t xml:space="preserve">18 | 2 | 12</t>
  </si>
  <si>
    <t xml:space="preserve">19 | 2.23 | 13.38</t>
  </si>
  <si>
    <t xml:space="preserve">20 | 2.47 | 14.82</t>
  </si>
  <si>
    <t xml:space="preserve">2.98</t>
  </si>
  <si>
    <t xml:space="preserve">17.88</t>
  </si>
  <si>
    <t xml:space="preserve">22 | 2.98 | 17.88</t>
  </si>
  <si>
    <t xml:space="preserve">3.85</t>
  </si>
  <si>
    <t xml:space="preserve">23.1</t>
  </si>
  <si>
    <t xml:space="preserve">25 | 3.85 | 23.1</t>
  </si>
  <si>
    <t xml:space="preserve">4.83</t>
  </si>
  <si>
    <t xml:space="preserve">28.98</t>
  </si>
  <si>
    <t xml:space="preserve">28 | 4.83 | 28.98</t>
  </si>
  <si>
    <t xml:space="preserve">30 | 5.55 | 33.3</t>
  </si>
  <si>
    <t xml:space="preserve">32 | 6.31 | 37.86</t>
  </si>
  <si>
    <t xml:space="preserve">7.13</t>
  </si>
  <si>
    <t xml:space="preserve">42.78</t>
  </si>
  <si>
    <t xml:space="preserve">34 | 7.13 | 42.78</t>
  </si>
  <si>
    <t xml:space="preserve">7.99</t>
  </si>
  <si>
    <t xml:space="preserve">47.94</t>
  </si>
  <si>
    <t xml:space="preserve">36 | 7.99 | 47.94</t>
  </si>
  <si>
    <t xml:space="preserve">8.9</t>
  </si>
  <si>
    <t xml:space="preserve">53.4</t>
  </si>
  <si>
    <t xml:space="preserve">38 | 8.9 | 53.4</t>
  </si>
  <si>
    <t xml:space="preserve">9.87</t>
  </si>
  <si>
    <t xml:space="preserve">59.22</t>
  </si>
  <si>
    <t xml:space="preserve">40 | 9.87 | 59.22</t>
  </si>
  <si>
    <t xml:space="preserve">42</t>
  </si>
  <si>
    <t xml:space="preserve">42 | 10.9 | 65.4</t>
  </si>
  <si>
    <t xml:space="preserve">11.9</t>
  </si>
  <si>
    <t xml:space="preserve">71.4</t>
  </si>
  <si>
    <t xml:space="preserve">44 | 11.9 | 71.4</t>
  </si>
  <si>
    <t xml:space="preserve">45 | 12.5 | 75</t>
  </si>
  <si>
    <t xml:space="preserve">46</t>
  </si>
  <si>
    <t xml:space="preserve">46 | 13 | 78</t>
  </si>
  <si>
    <t xml:space="preserve">48</t>
  </si>
  <si>
    <t xml:space="preserve">14.2</t>
  </si>
  <si>
    <t xml:space="preserve">85.2</t>
  </si>
  <si>
    <t xml:space="preserve">48 | 14.2 | 85.2</t>
  </si>
  <si>
    <t xml:space="preserve">50 | 15.4 | 92.4</t>
  </si>
  <si>
    <t xml:space="preserve">18.7</t>
  </si>
  <si>
    <t xml:space="preserve">112.2</t>
  </si>
  <si>
    <t xml:space="preserve">55 | 18.7 | 112.2</t>
  </si>
  <si>
    <t xml:space="preserve">22.2</t>
  </si>
  <si>
    <t xml:space="preserve">133.2</t>
  </si>
  <si>
    <t xml:space="preserve">60 | 22.2 | 133.2</t>
  </si>
  <si>
    <t xml:space="preserve">156</t>
  </si>
  <si>
    <t xml:space="preserve">65 | 26 | 156</t>
  </si>
  <si>
    <t xml:space="preserve">30.2</t>
  </si>
  <si>
    <t xml:space="preserve">181.2</t>
  </si>
  <si>
    <t xml:space="preserve">70 | 30.2 | 181.2</t>
  </si>
  <si>
    <t xml:space="preserve">34.7</t>
  </si>
  <si>
    <t xml:space="preserve">208.2</t>
  </si>
  <si>
    <t xml:space="preserve">75 | 34.7 | 208.2</t>
  </si>
  <si>
    <t xml:space="preserve">39.5</t>
  </si>
  <si>
    <t xml:space="preserve">237</t>
  </si>
  <si>
    <t xml:space="preserve">80 | 39.5 | 237</t>
  </si>
  <si>
    <t xml:space="preserve">267</t>
  </si>
  <si>
    <t xml:space="preserve">85 | 44.5 | 267</t>
  </si>
  <si>
    <t xml:space="preserve">49.9</t>
  </si>
  <si>
    <t xml:space="preserve">299.4</t>
  </si>
  <si>
    <t xml:space="preserve">90 | 49.9 | 299.4</t>
  </si>
  <si>
    <t xml:space="preserve">55.6</t>
  </si>
  <si>
    <t xml:space="preserve">333.6</t>
  </si>
  <si>
    <t xml:space="preserve">95 | 55.6 | 333.6</t>
  </si>
  <si>
    <t xml:space="preserve">61.7</t>
  </si>
  <si>
    <t xml:space="preserve">370.2</t>
  </si>
  <si>
    <t xml:space="preserve">100 | 61.7 | 370.2</t>
  </si>
  <si>
    <t xml:space="preserve">105</t>
  </si>
  <si>
    <t xml:space="preserve">68</t>
  </si>
  <si>
    <t xml:space="preserve">408</t>
  </si>
  <si>
    <t xml:space="preserve">105 | 68 | 408</t>
  </si>
  <si>
    <t xml:space="preserve">74.6</t>
  </si>
  <si>
    <t xml:space="preserve">447.6</t>
  </si>
  <si>
    <t xml:space="preserve">110 | 74.6 | 447.6</t>
  </si>
  <si>
    <t xml:space="preserve">532.8</t>
  </si>
  <si>
    <t xml:space="preserve">120 | 88.8 | 532.8</t>
  </si>
  <si>
    <t xml:space="preserve">96.3</t>
  </si>
  <si>
    <t xml:space="preserve">577.8</t>
  </si>
  <si>
    <t xml:space="preserve">125 | 96.3 | 577.8</t>
  </si>
  <si>
    <t xml:space="preserve">130 | 104 | 624</t>
  </si>
  <si>
    <t xml:space="preserve">135</t>
  </si>
  <si>
    <t xml:space="preserve">135 | 112 | 672</t>
  </si>
  <si>
    <t xml:space="preserve">726</t>
  </si>
  <si>
    <t xml:space="preserve">140 | 121 | 726</t>
  </si>
  <si>
    <t xml:space="preserve">780</t>
  </si>
  <si>
    <t xml:space="preserve">145 | 130 | 780</t>
  </si>
  <si>
    <t xml:space="preserve">139</t>
  </si>
  <si>
    <t xml:space="preserve">834</t>
  </si>
  <si>
    <t xml:space="preserve">150 | 139 | 834</t>
  </si>
  <si>
    <t xml:space="preserve">158</t>
  </si>
  <si>
    <t xml:space="preserve">948</t>
  </si>
  <si>
    <t xml:space="preserve">160 | 158 | 948</t>
  </si>
  <si>
    <t xml:space="preserve">170</t>
  </si>
  <si>
    <t xml:space="preserve">178</t>
  </si>
  <si>
    <t xml:space="preserve">1068</t>
  </si>
  <si>
    <t xml:space="preserve">170 | 178 | 1068</t>
  </si>
  <si>
    <t xml:space="preserve">180</t>
  </si>
  <si>
    <t xml:space="preserve">1200</t>
  </si>
  <si>
    <t xml:space="preserve">180 | 200 | 1200</t>
  </si>
  <si>
    <t xml:space="preserve">223</t>
  </si>
  <si>
    <t xml:space="preserve">1338</t>
  </si>
  <si>
    <t xml:space="preserve">190 | 223 | 1338</t>
  </si>
  <si>
    <t xml:space="preserve">247</t>
  </si>
  <si>
    <t xml:space="preserve">1482</t>
  </si>
  <si>
    <t xml:space="preserve">200 | 247 | 1482</t>
  </si>
  <si>
    <t xml:space="preserve">272</t>
  </si>
  <si>
    <t xml:space="preserve">1632</t>
  </si>
  <si>
    <t xml:space="preserve">210 | 272 | 1632</t>
  </si>
  <si>
    <t xml:space="preserve">298</t>
  </si>
  <si>
    <t xml:space="preserve">1788</t>
  </si>
  <si>
    <t xml:space="preserve">220 | 298 | 1788</t>
  </si>
  <si>
    <t xml:space="preserve">230</t>
  </si>
  <si>
    <t xml:space="preserve">326</t>
  </si>
  <si>
    <t xml:space="preserve">1956</t>
  </si>
  <si>
    <t xml:space="preserve">230 | 326 | 1956</t>
  </si>
  <si>
    <t xml:space="preserve">2130</t>
  </si>
  <si>
    <t xml:space="preserve">240 | 355 | 2130</t>
  </si>
  <si>
    <t xml:space="preserve">385</t>
  </si>
  <si>
    <t xml:space="preserve">2310</t>
  </si>
  <si>
    <t xml:space="preserve">250 | 385 | 2310</t>
  </si>
  <si>
    <t xml:space="preserve">260</t>
  </si>
  <si>
    <t xml:space="preserve">417</t>
  </si>
  <si>
    <t xml:space="preserve">2502</t>
  </si>
  <si>
    <t xml:space="preserve">260 | 417 | 2502</t>
  </si>
  <si>
    <t xml:space="preserve">449</t>
  </si>
  <si>
    <t xml:space="preserve">2694</t>
  </si>
  <si>
    <t xml:space="preserve">270 | 449 | 2694</t>
  </si>
  <si>
    <t xml:space="preserve">483</t>
  </si>
  <si>
    <t xml:space="preserve">2898</t>
  </si>
  <si>
    <t xml:space="preserve">280 | 483 | 2898</t>
  </si>
  <si>
    <t xml:space="preserve">518</t>
  </si>
  <si>
    <t xml:space="preserve">3108</t>
  </si>
  <si>
    <t xml:space="preserve">290 | 518 | 3108</t>
  </si>
  <si>
    <t xml:space="preserve">555</t>
  </si>
  <si>
    <t xml:space="preserve">3330</t>
  </si>
  <si>
    <t xml:space="preserve">300 | 555 | 3330</t>
  </si>
  <si>
    <r>
      <rPr>
        <sz val="11"/>
        <color theme="1"/>
        <rFont val="Calibri"/>
        <family val="2"/>
        <charset val="1"/>
      </rPr>
      <t xml:space="preserve">COLD DRAWING BRIGHT HEXAGONAL BAR </t>
    </r>
    <r>
      <rPr>
        <sz val="11"/>
        <color theme="1"/>
        <rFont val="Noto Sans CJK SC"/>
        <family val="2"/>
      </rPr>
      <t xml:space="preserve">六角白車芯</t>
    </r>
  </si>
  <si>
    <t xml:space="preserve">Size
(inch)</t>
  </si>
  <si>
    <t xml:space="preserve">Size
(mm) | Size
(inch) | Unit Wt
(Kg/m)</t>
  </si>
  <si>
    <t xml:space="preserve">4.763</t>
  </si>
  <si>
    <t xml:space="preserve">3/16</t>
  </si>
  <si>
    <t xml:space="preserve">0.154</t>
  </si>
  <si>
    <t xml:space="preserve">4.763 | 3/16 | 0.154</t>
  </si>
  <si>
    <t xml:space="preserve">5.556</t>
  </si>
  <si>
    <t xml:space="preserve">7/32</t>
  </si>
  <si>
    <t xml:space="preserve">0.21</t>
  </si>
  <si>
    <t xml:space="preserve">5.556 | 7/32 | 0.21</t>
  </si>
  <si>
    <t xml:space="preserve">0.333</t>
  </si>
  <si>
    <t xml:space="preserve">7 | — | 0.333</t>
  </si>
  <si>
    <t xml:space="preserve">7.938</t>
  </si>
  <si>
    <t xml:space="preserve">5/16</t>
  </si>
  <si>
    <t xml:space="preserve">0.428</t>
  </si>
  <si>
    <t xml:space="preserve">7.938 | 5/16 | 0.428</t>
  </si>
  <si>
    <t xml:space="preserve">9.525</t>
  </si>
  <si>
    <t xml:space="preserve">3/8</t>
  </si>
  <si>
    <t xml:space="preserve">9.525 | 3/8 | 0.617</t>
  </si>
  <si>
    <t xml:space="preserve">11.113</t>
  </si>
  <si>
    <t xml:space="preserve">7/16</t>
  </si>
  <si>
    <t xml:space="preserve">11.113 | 7/16 | 0.84</t>
  </si>
  <si>
    <t xml:space="preserve">12.7</t>
  </si>
  <si>
    <t xml:space="preserve">1.096</t>
  </si>
  <si>
    <t xml:space="preserve">12.7 | 1/2 | 1.096</t>
  </si>
  <si>
    <t xml:space="preserve">14 | — | 1.332</t>
  </si>
  <si>
    <t xml:space="preserve">15 | — | 1.53</t>
  </si>
  <si>
    <t xml:space="preserve">15.875</t>
  </si>
  <si>
    <t xml:space="preserve">5/8</t>
  </si>
  <si>
    <t xml:space="preserve">1.713</t>
  </si>
  <si>
    <t xml:space="preserve">15.875 | 5/8 | 1.713</t>
  </si>
  <si>
    <t xml:space="preserve">16 | — | 1.713</t>
  </si>
  <si>
    <t xml:space="preserve">1.965</t>
  </si>
  <si>
    <t xml:space="preserve">17 | — | 1.965</t>
  </si>
  <si>
    <t xml:space="preserve">17.463</t>
  </si>
  <si>
    <t xml:space="preserve">11/16</t>
  </si>
  <si>
    <t xml:space="preserve">2.073</t>
  </si>
  <si>
    <t xml:space="preserve">17.463 | 11/16 | 2.073</t>
  </si>
  <si>
    <t xml:space="preserve">2.454</t>
  </si>
  <si>
    <t xml:space="preserve">19 | — | 2.454</t>
  </si>
  <si>
    <t xml:space="preserve">20.638</t>
  </si>
  <si>
    <t xml:space="preserve">13/16</t>
  </si>
  <si>
    <t xml:space="preserve">2.895</t>
  </si>
  <si>
    <t xml:space="preserve">20.638 | 13/16 | 2.895</t>
  </si>
  <si>
    <t xml:space="preserve">2.998</t>
  </si>
  <si>
    <t xml:space="preserve">21 | — | 2.998</t>
  </si>
  <si>
    <t xml:space="preserve">3.29</t>
  </si>
  <si>
    <t xml:space="preserve">22 | — | 3.29</t>
  </si>
  <si>
    <t xml:space="preserve">22.225</t>
  </si>
  <si>
    <t xml:space="preserve">7/8</t>
  </si>
  <si>
    <t xml:space="preserve">3.358</t>
  </si>
  <si>
    <t xml:space="preserve">22.225 | 7/8 | 3.358</t>
  </si>
  <si>
    <t xml:space="preserve">3.596</t>
  </si>
  <si>
    <t xml:space="preserve">23 | — | 3.596</t>
  </si>
  <si>
    <t xml:space="preserve">4.386</t>
  </si>
  <si>
    <t xml:space="preserve">24 | — | 4.386</t>
  </si>
  <si>
    <t xml:space="preserve">25.4</t>
  </si>
  <si>
    <t xml:space="preserve">25.4 | 1 | 4.386</t>
  </si>
  <si>
    <t xml:space="preserve">4.595</t>
  </si>
  <si>
    <t xml:space="preserve">26 | — | 4.595</t>
  </si>
  <si>
    <t xml:space="preserve">4.956</t>
  </si>
  <si>
    <t xml:space="preserve">27 | — | 4.956</t>
  </si>
  <si>
    <t xml:space="preserve">28.575</t>
  </si>
  <si>
    <t xml:space="preserve">1 1/8</t>
  </si>
  <si>
    <t xml:space="preserve">5.551</t>
  </si>
  <si>
    <t xml:space="preserve">28.575 | 1 1/8 | 5.551</t>
  </si>
  <si>
    <t xml:space="preserve">5.717</t>
  </si>
  <si>
    <t xml:space="preserve">29 | — | 5.717</t>
  </si>
  <si>
    <t xml:space="preserve">6.835</t>
  </si>
  <si>
    <t xml:space="preserve">31.75 | 1-1/4 | 6.835</t>
  </si>
  <si>
    <t xml:space="preserve">6.961</t>
  </si>
  <si>
    <t xml:space="preserve">32 | — | 6.961</t>
  </si>
  <si>
    <t xml:space="preserve">33.338</t>
  </si>
  <si>
    <t xml:space="preserve">1-5/16</t>
  </si>
  <si>
    <t xml:space="preserve">7.555</t>
  </si>
  <si>
    <t xml:space="preserve">33.338 | 1-5/16 | 7.555</t>
  </si>
  <si>
    <t xml:space="preserve">34.925</t>
  </si>
  <si>
    <t xml:space="preserve">8.292</t>
  </si>
  <si>
    <t xml:space="preserve">34.925 | — | 8.292</t>
  </si>
  <si>
    <t xml:space="preserve">8.328</t>
  </si>
  <si>
    <t xml:space="preserve">35 | — | 8.328</t>
  </si>
  <si>
    <t xml:space="preserve">9.816</t>
  </si>
  <si>
    <t xml:space="preserve">38 | — | 9.816</t>
  </si>
  <si>
    <t xml:space="preserve">38.1</t>
  </si>
  <si>
    <t xml:space="preserve">9.868</t>
  </si>
  <si>
    <t xml:space="preserve">38.1 | 1-1/2 | 9.868</t>
  </si>
  <si>
    <t xml:space="preserve">13.161</t>
  </si>
  <si>
    <t xml:space="preserve">40 | — | 13.161</t>
  </si>
  <si>
    <t xml:space="preserve">1-3/4</t>
  </si>
  <si>
    <t xml:space="preserve">13.432</t>
  </si>
  <si>
    <t xml:space="preserve">44.45 | 1-3/4 | 13.432</t>
  </si>
  <si>
    <t xml:space="preserve">50.8</t>
  </si>
  <si>
    <t xml:space="preserve">17.543</t>
  </si>
  <si>
    <t xml:space="preserve">50.8 | 2 | 17.543</t>
  </si>
  <si>
    <r>
      <rPr>
        <sz val="11"/>
        <color theme="1"/>
        <rFont val="Calibri"/>
        <family val="2"/>
        <charset val="1"/>
      </rPr>
      <t xml:space="preserve">Channel </t>
    </r>
    <r>
      <rPr>
        <sz val="11"/>
        <color theme="1"/>
        <rFont val="Noto Sans CJK SC"/>
        <family val="2"/>
      </rPr>
      <t xml:space="preserve">槽鐵 </t>
    </r>
    <r>
      <rPr>
        <sz val="11"/>
        <color theme="1"/>
        <rFont val="Calibri"/>
        <family val="2"/>
        <charset val="1"/>
      </rPr>
      <t xml:space="preserve">&amp; Deformed Bar </t>
    </r>
    <r>
      <rPr>
        <sz val="11"/>
        <color theme="1"/>
        <rFont val="Noto Sans CJK SC"/>
        <family val="2"/>
      </rPr>
      <t xml:space="preserve">竹節鐵</t>
    </r>
  </si>
  <si>
    <t xml:space="preserve">Hot-rolled channel sections and deformed reinforcing bar  |  Jin Yuan Fa Hardware Industries Pte Ltd</t>
  </si>
  <si>
    <r>
      <rPr>
        <sz val="11"/>
        <color theme="1"/>
        <rFont val="Calibri"/>
        <family val="2"/>
        <charset val="1"/>
      </rPr>
      <t xml:space="preserve">CHANNEL </t>
    </r>
    <r>
      <rPr>
        <sz val="11"/>
        <color theme="1"/>
        <rFont val="Noto Sans CJK SC"/>
        <family val="2"/>
      </rPr>
      <t xml:space="preserve">槽鐵 — </t>
    </r>
    <r>
      <rPr>
        <sz val="11"/>
        <color theme="1"/>
        <rFont val="Calibri"/>
        <family val="2"/>
        <charset val="1"/>
      </rPr>
      <t xml:space="preserve">Dimensions D×B (mm), Web T1, Flange T2, Unit Weight</t>
    </r>
  </si>
  <si>
    <t xml:space="preserve">D×B
(mm)</t>
  </si>
  <si>
    <t xml:space="preserve">T1
(mm)</t>
  </si>
  <si>
    <t xml:space="preserve">T2
(mm)</t>
  </si>
  <si>
    <t xml:space="preserve">D×B
(mm) | T1
(mm) | T2
(mm) | Kg/m | Kg/6m</t>
  </si>
  <si>
    <t xml:space="preserve">2.56</t>
  </si>
  <si>
    <t xml:space="preserve">15.36</t>
  </si>
  <si>
    <t xml:space="preserve">50x25 | 3.5 | — | 2.56 | 15.36</t>
  </si>
  <si>
    <t xml:space="preserve">2.92</t>
  </si>
  <si>
    <t xml:space="preserve">17.52</t>
  </si>
  <si>
    <t xml:space="preserve">50x25 | 4 | 6 | 2.92 | 17.52</t>
  </si>
  <si>
    <t xml:space="preserve">3.86</t>
  </si>
  <si>
    <t xml:space="preserve">23.16</t>
  </si>
  <si>
    <t xml:space="preserve">50x25 | 5 | 6 | 3.86 | 23.16</t>
  </si>
  <si>
    <t xml:space="preserve">6.7</t>
  </si>
  <si>
    <t xml:space="preserve">40.2</t>
  </si>
  <si>
    <t xml:space="preserve">65x40 | 4.8 | 7.5 | 6.7 | 40.2</t>
  </si>
  <si>
    <t xml:space="preserve">75x40</t>
  </si>
  <si>
    <t xml:space="preserve">75x40 | 3.8 | — | 5.3 | 31.8</t>
  </si>
  <si>
    <t xml:space="preserve">5.6</t>
  </si>
  <si>
    <t xml:space="preserve">75x40 | 4 | — | 5.6 | 33.6</t>
  </si>
  <si>
    <t xml:space="preserve">5.85</t>
  </si>
  <si>
    <t xml:space="preserve">35.1</t>
  </si>
  <si>
    <t xml:space="preserve">75x40 | 4.5 | — | 5.85 | 35.1</t>
  </si>
  <si>
    <t xml:space="preserve">6.92</t>
  </si>
  <si>
    <t xml:space="preserve">41.52</t>
  </si>
  <si>
    <t xml:space="preserve">75x40 | 5 | 7 | 6.92 | 41.52</t>
  </si>
  <si>
    <t xml:space="preserve">100x48</t>
  </si>
  <si>
    <t xml:space="preserve">100x48 | 3.8 | — | 7.5 | 45</t>
  </si>
  <si>
    <t xml:space="preserve">8.03</t>
  </si>
  <si>
    <t xml:space="preserve">48.18</t>
  </si>
  <si>
    <t xml:space="preserve">100x50 | 4.2 | — | 8.03 | 48.18</t>
  </si>
  <si>
    <t xml:space="preserve">8.97</t>
  </si>
  <si>
    <t xml:space="preserve">53.82</t>
  </si>
  <si>
    <t xml:space="preserve">100x50 | 4.5 | — | 8.97 | 53.82</t>
  </si>
  <si>
    <t xml:space="preserve">100x50 | 5 | 7.5 | 9.36 | 56.16</t>
  </si>
  <si>
    <t xml:space="preserve">100x50 | 6 | — | 10.6 | 63.6</t>
  </si>
  <si>
    <t xml:space="preserve">120x53</t>
  </si>
  <si>
    <t xml:space="preserve">72.36</t>
  </si>
  <si>
    <t xml:space="preserve">120x53 | 5.5 | 9 | 12.06 | 72.36</t>
  </si>
  <si>
    <t xml:space="preserve">125x65</t>
  </si>
  <si>
    <t xml:space="preserve">5.2</t>
  </si>
  <si>
    <t xml:space="preserve">11.66</t>
  </si>
  <si>
    <t xml:space="preserve">69.96</t>
  </si>
  <si>
    <t xml:space="preserve">125x65 | 5.2 | — | 11.66 | 69.96</t>
  </si>
  <si>
    <t xml:space="preserve">12.17</t>
  </si>
  <si>
    <t xml:space="preserve">73.02</t>
  </si>
  <si>
    <t xml:space="preserve">125x65 | 5.3 | — | 12.17 | 73.02</t>
  </si>
  <si>
    <t xml:space="preserve">12.91</t>
  </si>
  <si>
    <t xml:space="preserve">125x65 | 12.91 | 7.5 | — | —</t>
  </si>
  <si>
    <t xml:space="preserve">125x65 | 6 | 8 | 13.4 | 80.4</t>
  </si>
  <si>
    <t xml:space="preserve">14.66</t>
  </si>
  <si>
    <t xml:space="preserve">87.96</t>
  </si>
  <si>
    <t xml:space="preserve">150x75 | 5.5 | — | 14.66 | 87.96</t>
  </si>
  <si>
    <t xml:space="preserve">16.71</t>
  </si>
  <si>
    <t xml:space="preserve">100.26</t>
  </si>
  <si>
    <t xml:space="preserve">150x75 | 5.7 | — | 16.71 | 100.26</t>
  </si>
  <si>
    <t xml:space="preserve">18.01</t>
  </si>
  <si>
    <t xml:space="preserve">108.06</t>
  </si>
  <si>
    <t xml:space="preserve">150x75 | 6 | — | 18.01 | 108.06</t>
  </si>
  <si>
    <t xml:space="preserve">6.5</t>
  </si>
  <si>
    <t xml:space="preserve">150x75 | 6.5 | 10 | 18.6 | 111.6</t>
  </si>
  <si>
    <t xml:space="preserve">150x75 | 9 | 12.5 | 24 | 144</t>
  </si>
  <si>
    <t xml:space="preserve">180x68</t>
  </si>
  <si>
    <t xml:space="preserve">180x68 | 6.76 | 10 | 18.6 | 111.6</t>
  </si>
  <si>
    <t xml:space="preserve">20.17</t>
  </si>
  <si>
    <t xml:space="preserve">121.02</t>
  </si>
  <si>
    <t xml:space="preserve">180x68 | 7 | 10.5 | 20.17 | 121.02</t>
  </si>
  <si>
    <t xml:space="preserve">180x90</t>
  </si>
  <si>
    <t xml:space="preserve">27.1</t>
  </si>
  <si>
    <t xml:space="preserve">162.6</t>
  </si>
  <si>
    <t xml:space="preserve">180x90 | 7.5 | 12.5 | 27.1 | 162.6</t>
  </si>
  <si>
    <t xml:space="preserve">22.91</t>
  </si>
  <si>
    <t xml:space="preserve">137.46</t>
  </si>
  <si>
    <t xml:space="preserve">180x90 | 8 | — | 22.91 | 137.46</t>
  </si>
  <si>
    <t xml:space="preserve">200x75</t>
  </si>
  <si>
    <t xml:space="preserve">200x75 | 8 | — | 22.91 | 137.46</t>
  </si>
  <si>
    <t xml:space="preserve">25.77</t>
  </si>
  <si>
    <t xml:space="preserve">154.62</t>
  </si>
  <si>
    <t xml:space="preserve">200x75 | 9 | 11 | 25.77 | 154.62</t>
  </si>
  <si>
    <t xml:space="preserve">200x80</t>
  </si>
  <si>
    <t xml:space="preserve">24.6</t>
  </si>
  <si>
    <t xml:space="preserve">147.6</t>
  </si>
  <si>
    <t xml:space="preserve">200x80 | 7.5 | 11 | 24.6 | 147.6</t>
  </si>
  <si>
    <t xml:space="preserve">200x90 | 8 | — | 24.6 | 147.6</t>
  </si>
  <si>
    <t xml:space="preserve">230x80</t>
  </si>
  <si>
    <t xml:space="preserve">28.4</t>
  </si>
  <si>
    <t xml:space="preserve">170.4</t>
  </si>
  <si>
    <t xml:space="preserve">230x80 | 8 | 12 | 28.4 | 170.4</t>
  </si>
  <si>
    <t xml:space="preserve">230x90</t>
  </si>
  <si>
    <t xml:space="preserve">8.5</t>
  </si>
  <si>
    <t xml:space="preserve">33.1</t>
  </si>
  <si>
    <t xml:space="preserve">198.6</t>
  </si>
  <si>
    <t xml:space="preserve">230x90 | 8.5 | 12 | 33.1 | 198.6</t>
  </si>
  <si>
    <t xml:space="preserve">250x80</t>
  </si>
  <si>
    <t xml:space="preserve">250x80 | 8 | 12.5 | 30.2 | 181.2</t>
  </si>
  <si>
    <t xml:space="preserve">250x80 | 12.5 | — | — | —</t>
  </si>
  <si>
    <t xml:space="preserve">250x90</t>
  </si>
  <si>
    <t xml:space="preserve">34.6</t>
  </si>
  <si>
    <t xml:space="preserve">207.6</t>
  </si>
  <si>
    <t xml:space="preserve">250x90 | 9 | 13 | 34.6 | 207.6</t>
  </si>
  <si>
    <t xml:space="preserve">241.2</t>
  </si>
  <si>
    <t xml:space="preserve">250x90 | 11 | 14.5 | 40.2 | 241.2</t>
  </si>
  <si>
    <t xml:space="preserve">280x100</t>
  </si>
  <si>
    <t xml:space="preserve">38.8</t>
  </si>
  <si>
    <t xml:space="preserve">232.8</t>
  </si>
  <si>
    <t xml:space="preserve">280x100 | 9 | — | 38.8 | 232.8</t>
  </si>
  <si>
    <t xml:space="preserve">48.2</t>
  </si>
  <si>
    <t xml:space="preserve">289.2</t>
  </si>
  <si>
    <t xml:space="preserve">280x100 | 11.5 | — | 48.2 | 289.2</t>
  </si>
  <si>
    <t xml:space="preserve">300x85</t>
  </si>
  <si>
    <t xml:space="preserve">34.45</t>
  </si>
  <si>
    <t xml:space="preserve">206.7</t>
  </si>
  <si>
    <t xml:space="preserve">300x85 | 7.5 | 13.5 | 34.45 | 206.7</t>
  </si>
  <si>
    <t xml:space="preserve">300x90</t>
  </si>
  <si>
    <t xml:space="preserve">228.6</t>
  </si>
  <si>
    <t xml:space="preserve">300x90 | 9 | 13 | 38.1 | 228.6</t>
  </si>
  <si>
    <t xml:space="preserve">15.5</t>
  </si>
  <si>
    <t xml:space="preserve">43.8</t>
  </si>
  <si>
    <t xml:space="preserve">262.8</t>
  </si>
  <si>
    <t xml:space="preserve">300x90 | 10 | 15.5 | 43.8 | 262.8</t>
  </si>
  <si>
    <t xml:space="preserve">300x100</t>
  </si>
  <si>
    <t xml:space="preserve">46.83</t>
  </si>
  <si>
    <t xml:space="preserve">280.98</t>
  </si>
  <si>
    <t xml:space="preserve">300x100 | 10 | 16 | 46.83 | 280.98</t>
  </si>
  <si>
    <t xml:space="preserve">54.5</t>
  </si>
  <si>
    <t xml:space="preserve">327</t>
  </si>
  <si>
    <t xml:space="preserve">300x100 | 10.5 | 16 | 54.5 | 327</t>
  </si>
  <si>
    <t xml:space="preserve">380x100</t>
  </si>
  <si>
    <t xml:space="preserve">380x100 | 10.5 | 16 | 54.5 | 327</t>
  </si>
  <si>
    <t xml:space="preserve">62</t>
  </si>
  <si>
    <t xml:space="preserve">372</t>
  </si>
  <si>
    <t xml:space="preserve">380x100 | 13 | 16.5 | 62 | 372</t>
  </si>
  <si>
    <r>
      <rPr>
        <sz val="11"/>
        <color theme="1"/>
        <rFont val="Calibri"/>
        <family val="2"/>
        <charset val="1"/>
      </rPr>
      <t xml:space="preserve">DEFORMED BAR </t>
    </r>
    <r>
      <rPr>
        <sz val="11"/>
        <color theme="1"/>
        <rFont val="Noto Sans CJK SC"/>
        <family val="2"/>
      </rPr>
      <t xml:space="preserve">竹節鐵 — </t>
    </r>
    <r>
      <rPr>
        <sz val="11"/>
        <color theme="1"/>
        <rFont val="Calibri"/>
        <family val="2"/>
        <charset val="1"/>
      </rPr>
      <t xml:space="preserve">Nominal Diameter, Section Area, Unit Weight</t>
    </r>
  </si>
  <si>
    <t xml:space="preserve">Nom Dia
(mm)</t>
  </si>
  <si>
    <t xml:space="preserve">Nom Dia
(mm) | Section Area
(mm²) | Kg/m | Kg/6m</t>
  </si>
  <si>
    <t xml:space="preserve">6 | 28.3 | 0.222 | 1.332</t>
  </si>
  <si>
    <t xml:space="preserve">50.3</t>
  </si>
  <si>
    <t xml:space="preserve">8 | 50.3 | 0.395 | 2.37</t>
  </si>
  <si>
    <t xml:space="preserve">9 | 63.6 | 0.499 | 2.994</t>
  </si>
  <si>
    <t xml:space="preserve">10 | 78.5 | 0.617 | 3.702</t>
  </si>
  <si>
    <t xml:space="preserve">113.1</t>
  </si>
  <si>
    <t xml:space="preserve">12 | 113.1 | 0.888 | 5.328</t>
  </si>
  <si>
    <t xml:space="preserve">132.7</t>
  </si>
  <si>
    <t xml:space="preserve">1.042</t>
  </si>
  <si>
    <t xml:space="preserve">6.252</t>
  </si>
  <si>
    <t xml:space="preserve">13 | 132.7 | 1.042 | 6.252</t>
  </si>
  <si>
    <t xml:space="preserve">153.9</t>
  </si>
  <si>
    <t xml:space="preserve">1.208</t>
  </si>
  <si>
    <t xml:space="preserve">7.248</t>
  </si>
  <si>
    <t xml:space="preserve">14 | 153.9 | 1.208 | 7.248</t>
  </si>
  <si>
    <t xml:space="preserve">201.1</t>
  </si>
  <si>
    <t xml:space="preserve">1.578</t>
  </si>
  <si>
    <t xml:space="preserve">9.468</t>
  </si>
  <si>
    <t xml:space="preserve">16 | 201.1 | 1.578 | 9.468</t>
  </si>
  <si>
    <t xml:space="preserve">254.5</t>
  </si>
  <si>
    <t xml:space="preserve">1.998</t>
  </si>
  <si>
    <t xml:space="preserve">11.988</t>
  </si>
  <si>
    <t xml:space="preserve">18 | 254.5 | 1.998 | 11.988</t>
  </si>
  <si>
    <t xml:space="preserve">283</t>
  </si>
  <si>
    <t xml:space="preserve">2.226</t>
  </si>
  <si>
    <t xml:space="preserve">13.356</t>
  </si>
  <si>
    <t xml:space="preserve">19 | 283 | 2.226 | 13.356</t>
  </si>
  <si>
    <t xml:space="preserve">314.2</t>
  </si>
  <si>
    <t xml:space="preserve">2.466</t>
  </si>
  <si>
    <t xml:space="preserve">14.796</t>
  </si>
  <si>
    <t xml:space="preserve">20 | 314.2 | 2.466 | 14.796</t>
  </si>
  <si>
    <t xml:space="preserve">380.1</t>
  </si>
  <si>
    <t xml:space="preserve">2.984</t>
  </si>
  <si>
    <t xml:space="preserve">17.904</t>
  </si>
  <si>
    <t xml:space="preserve">22 | 380.1 | 2.984 | 17.904</t>
  </si>
  <si>
    <t xml:space="preserve">452.2</t>
  </si>
  <si>
    <t xml:space="preserve">3.551</t>
  </si>
  <si>
    <t xml:space="preserve">21.306</t>
  </si>
  <si>
    <t xml:space="preserve">24 | 452.2 | 3.551 | 21.306</t>
  </si>
  <si>
    <t xml:space="preserve">490.9</t>
  </si>
  <si>
    <t xml:space="preserve">3.853</t>
  </si>
  <si>
    <t xml:space="preserve">23.118</t>
  </si>
  <si>
    <t xml:space="preserve">25 | 490.9 | 3.853 | 23.118</t>
  </si>
  <si>
    <t xml:space="preserve">530.7</t>
  </si>
  <si>
    <t xml:space="preserve">4.168</t>
  </si>
  <si>
    <t xml:space="preserve">25.008</t>
  </si>
  <si>
    <t xml:space="preserve">26 | 530.7 | 4.168 | 25.008</t>
  </si>
  <si>
    <t xml:space="preserve">615.8</t>
  </si>
  <si>
    <t xml:space="preserve">4.834</t>
  </si>
  <si>
    <t xml:space="preserve">29.004</t>
  </si>
  <si>
    <t xml:space="preserve">28 | 615.8 | 4.834 | 29.004</t>
  </si>
  <si>
    <t xml:space="preserve">660.2</t>
  </si>
  <si>
    <t xml:space="preserve">5.185</t>
  </si>
  <si>
    <t xml:space="preserve">31.11</t>
  </si>
  <si>
    <t xml:space="preserve">29 | 660.2 | 5.185 | 31.11</t>
  </si>
  <si>
    <t xml:space="preserve">706.5</t>
  </si>
  <si>
    <t xml:space="preserve">5.549</t>
  </si>
  <si>
    <t xml:space="preserve">33.294</t>
  </si>
  <si>
    <t xml:space="preserve">30 | 706.5 | 5.549 | 33.294</t>
  </si>
  <si>
    <t xml:space="preserve">804.2</t>
  </si>
  <si>
    <t xml:space="preserve">6.313</t>
  </si>
  <si>
    <t xml:space="preserve">37.878</t>
  </si>
  <si>
    <t xml:space="preserve">32 | 804.2 | 6.313 | 37.878</t>
  </si>
  <si>
    <t xml:space="preserve">962.1</t>
  </si>
  <si>
    <t xml:space="preserve">7.553</t>
  </si>
  <si>
    <t xml:space="preserve">45.318</t>
  </si>
  <si>
    <t xml:space="preserve">35 | 962.1 | 7.553 | 45.318</t>
  </si>
  <si>
    <t xml:space="preserve">1017.4</t>
  </si>
  <si>
    <t xml:space="preserve">36 | 1017.4 | 7.99 | 47.94</t>
  </si>
  <si>
    <t xml:space="preserve">1134.1</t>
  </si>
  <si>
    <t xml:space="preserve">8.903</t>
  </si>
  <si>
    <t xml:space="preserve">53.418</t>
  </si>
  <si>
    <t xml:space="preserve">38 | 1134.1 | 8.903 | 53.418</t>
  </si>
  <si>
    <t xml:space="preserve">1256.6</t>
  </si>
  <si>
    <t xml:space="preserve">9.865</t>
  </si>
  <si>
    <t xml:space="preserve">59.19</t>
  </si>
  <si>
    <t xml:space="preserve">40 | 1256.6 | 9.865 | 59.19</t>
  </si>
  <si>
    <t xml:space="preserve">1960</t>
  </si>
  <si>
    <t xml:space="preserve">15.43</t>
  </si>
  <si>
    <t xml:space="preserve">92.58</t>
  </si>
  <si>
    <t xml:space="preserve">50 | 1960 | 15.43 | 92.58</t>
  </si>
  <si>
    <r>
      <rPr>
        <sz val="11"/>
        <color theme="1"/>
        <rFont val="Calibri"/>
        <family val="2"/>
        <charset val="1"/>
      </rPr>
      <t xml:space="preserve">Wide Flange Shapes </t>
    </r>
    <r>
      <rPr>
        <sz val="11"/>
        <color theme="1"/>
        <rFont val="Noto Sans CJK SC"/>
        <family val="2"/>
      </rPr>
      <t xml:space="preserve">工字鐵 </t>
    </r>
    <r>
      <rPr>
        <sz val="11"/>
        <color theme="1"/>
        <rFont val="Calibri"/>
        <family val="2"/>
        <charset val="1"/>
      </rPr>
      <t xml:space="preserve">&amp; Mild Steel Tee Bar T</t>
    </r>
    <r>
      <rPr>
        <sz val="11"/>
        <color theme="1"/>
        <rFont val="Noto Sans CJK SC"/>
        <family val="2"/>
      </rPr>
      <t xml:space="preserve">字鐵</t>
    </r>
  </si>
  <si>
    <t xml:space="preserve">Universal beams (W-sections) &amp; Tee bars  |  Jin Yuan Fa Hardware Industries Pte Ltd</t>
  </si>
  <si>
    <t xml:space="preserve">WIDE FLANGE SHAPES (Universal Beams) — W-Sections</t>
  </si>
  <si>
    <t xml:space="preserve">Section / Nominal Size</t>
  </si>
  <si>
    <t xml:space="preserve">Weight
(lbs/ft)</t>
  </si>
  <si>
    <t xml:space="preserve">Weight
(kg/m)</t>
  </si>
  <si>
    <t xml:space="preserve">Area A
(cm²)</t>
  </si>
  <si>
    <t xml:space="preserve">Depth d
(mm)</t>
  </si>
  <si>
    <t xml:space="preserve">Section / Nominal Size | Weight
(lbs/ft) | Weight
(kg/m) | Area A
(cm²) | Depth d
(mm)</t>
  </si>
  <si>
    <t xml:space="preserve">W10 254x146 (10x53/4)</t>
  </si>
  <si>
    <t xml:space="preserve">44.64</t>
  </si>
  <si>
    <t xml:space="preserve">8.85</t>
  </si>
  <si>
    <t xml:space="preserve">57.1</t>
  </si>
  <si>
    <t xml:space="preserve">W10 254x146 (10x53/4) | 30 | 44.64 | 8.85 | 57.1</t>
  </si>
  <si>
    <t xml:space="preserve">W10 254x146</t>
  </si>
  <si>
    <t xml:space="preserve">38.69</t>
  </si>
  <si>
    <t xml:space="preserve">7.61</t>
  </si>
  <si>
    <t xml:space="preserve">W10 254x146 | 26 | 38.69 | 7.61 | 49.1</t>
  </si>
  <si>
    <t xml:space="preserve">32.74</t>
  </si>
  <si>
    <t xml:space="preserve">6.49</t>
  </si>
  <si>
    <t xml:space="preserve">41.87</t>
  </si>
  <si>
    <t xml:space="preserve">W10 254x146 | 22 | 32.74 | 6.49 | 41.87</t>
  </si>
  <si>
    <t xml:space="preserve">W10 254x102 (10x4)</t>
  </si>
  <si>
    <t xml:space="preserve">28.28</t>
  </si>
  <si>
    <t xml:space="preserve">5.62</t>
  </si>
  <si>
    <t xml:space="preserve">36.62</t>
  </si>
  <si>
    <t xml:space="preserve">W10 254x102 (10x4) | 19 | 28.28 | 5.62 | 36.62</t>
  </si>
  <si>
    <t xml:space="preserve">W10 254x102</t>
  </si>
  <si>
    <t xml:space="preserve">22.32</t>
  </si>
  <si>
    <t xml:space="preserve">4.41</t>
  </si>
  <si>
    <t xml:space="preserve">28.45</t>
  </si>
  <si>
    <t xml:space="preserve">W10 254x102 | 15 | 22.32 | 4.41 | 28.45</t>
  </si>
  <si>
    <t xml:space="preserve">17.86</t>
  </si>
  <si>
    <t xml:space="preserve">22.84</t>
  </si>
  <si>
    <t xml:space="preserve">W10 254x102 | 11 | 17.86 | 3.54 | 22.84</t>
  </si>
  <si>
    <t xml:space="preserve">W8 203x203 (8x8)</t>
  </si>
  <si>
    <t xml:space="preserve">67</t>
  </si>
  <si>
    <t xml:space="preserve">99.71</t>
  </si>
  <si>
    <t xml:space="preserve">127.1</t>
  </si>
  <si>
    <t xml:space="preserve">W8 203x203 (8x8) | 67 | 99.71 | 19.7 | 127.1</t>
  </si>
  <si>
    <t xml:space="preserve">W8 203x203</t>
  </si>
  <si>
    <t xml:space="preserve">58</t>
  </si>
  <si>
    <t xml:space="preserve">86.31</t>
  </si>
  <si>
    <t xml:space="preserve">110.3</t>
  </si>
  <si>
    <t xml:space="preserve">W8 203x203 | 58 | 86.31 | 17.1 | 110.3</t>
  </si>
  <si>
    <t xml:space="preserve">71.43</t>
  </si>
  <si>
    <t xml:space="preserve">90.97</t>
  </si>
  <si>
    <t xml:space="preserve">W8 203x203 | 48 | 71.43 | 14.1 | 90.97</t>
  </si>
  <si>
    <t xml:space="preserve">59.53</t>
  </si>
  <si>
    <t xml:space="preserve">75.48</t>
  </si>
  <si>
    <t xml:space="preserve">W8 203x203 | 40 | 59.53 | 11.7 | 75.48</t>
  </si>
  <si>
    <t xml:space="preserve">52.09</t>
  </si>
  <si>
    <t xml:space="preserve">10.3</t>
  </si>
  <si>
    <t xml:space="preserve">66.45</t>
  </si>
  <si>
    <t xml:space="preserve">W8 203x203 | 35 | 52.09 | 10.3 | 66.45</t>
  </si>
  <si>
    <t xml:space="preserve">31</t>
  </si>
  <si>
    <t xml:space="preserve">46.13</t>
  </si>
  <si>
    <t xml:space="preserve">9.12</t>
  </si>
  <si>
    <t xml:space="preserve">58.84</t>
  </si>
  <si>
    <t xml:space="preserve">W8 203x203 | 31 | 46.13 | 9.12 | 58.84</t>
  </si>
  <si>
    <t xml:space="preserve">W8 203x165 (8x6-1/2)</t>
  </si>
  <si>
    <t xml:space="preserve">41.67</t>
  </si>
  <si>
    <t xml:space="preserve">8.25</t>
  </si>
  <si>
    <t xml:space="preserve">53.23</t>
  </si>
  <si>
    <t xml:space="preserve">W8 203x165 (8x6-1/2) | 28 | 41.67 | 8.25 | 53.23</t>
  </si>
  <si>
    <t xml:space="preserve">W8 203x165</t>
  </si>
  <si>
    <t xml:space="preserve">35.72</t>
  </si>
  <si>
    <t xml:space="preserve">45.68</t>
  </si>
  <si>
    <t xml:space="preserve">W8 203x165 | 24 | 35.72 | 7.08 | 45.68</t>
  </si>
  <si>
    <r>
      <rPr>
        <sz val="11"/>
        <color theme="1"/>
        <rFont val="Calibri"/>
        <family val="2"/>
        <charset val="1"/>
      </rPr>
      <t xml:space="preserve">MILD STEEL TEE BAR </t>
    </r>
    <r>
      <rPr>
        <sz val="11"/>
        <color theme="1"/>
        <rFont val="Noto Sans CJK SC"/>
        <family val="2"/>
      </rPr>
      <t xml:space="preserve">丅字鐵</t>
    </r>
  </si>
  <si>
    <t xml:space="preserve">Size A×B</t>
  </si>
  <si>
    <t xml:space="preserve">Thickness</t>
  </si>
  <si>
    <t xml:space="preserve">kg/m</t>
  </si>
  <si>
    <t xml:space="preserve">Size A×B | Thickness | kg/m</t>
  </si>
  <si>
    <t xml:space="preserve">1"x1"</t>
  </si>
  <si>
    <t xml:space="preserve">1/8</t>
  </si>
  <si>
    <t xml:space="preserve">1.221</t>
  </si>
  <si>
    <t xml:space="preserve">1"x1" | 1/8 | 1.221</t>
  </si>
  <si>
    <t xml:space="preserve">1.742</t>
  </si>
  <si>
    <t xml:space="preserve">1"x1" | 3/16 | 1.742</t>
  </si>
  <si>
    <t xml:space="preserve">1-1/4"x1-1/4"</t>
  </si>
  <si>
    <t xml:space="preserve">1.534</t>
  </si>
  <si>
    <t xml:space="preserve">1-1/4"x1-1/4" | 1/8 | 1.534</t>
  </si>
  <si>
    <t xml:space="preserve">2.218</t>
  </si>
  <si>
    <t xml:space="preserve">1-1/4"x1-1/4" | 3/16 | 2.218</t>
  </si>
  <si>
    <t xml:space="preserve">1-3/4"x1-3/4"</t>
  </si>
  <si>
    <t xml:space="preserve">1/4</t>
  </si>
  <si>
    <t xml:space="preserve">4.153</t>
  </si>
  <si>
    <t xml:space="preserve">1-3/4"x1-3/4" | 1/4 | 4.153</t>
  </si>
  <si>
    <t xml:space="preserve">2"x2"</t>
  </si>
  <si>
    <t xml:space="preserve">5.076</t>
  </si>
  <si>
    <t xml:space="preserve">2"x2" | 5/16 | 5.076</t>
  </si>
  <si>
    <t xml:space="preserve">4.794</t>
  </si>
  <si>
    <t xml:space="preserve">2"x2" | 1/4 | 4.794</t>
  </si>
  <si>
    <t xml:space="preserve">5.88</t>
  </si>
  <si>
    <t xml:space="preserve">2"x2" | 5/16 | 5.88</t>
  </si>
  <si>
    <t xml:space="preserve">6.907</t>
  </si>
  <si>
    <t xml:space="preserve">2"x2" | 3/8 | 6.907</t>
  </si>
  <si>
    <t xml:space="preserve">2-1/2"x2-1/2"</t>
  </si>
  <si>
    <t xml:space="preserve">6.059</t>
  </si>
  <si>
    <t xml:space="preserve">2-1/2"x2-1/2" | 1/4 | 6.059</t>
  </si>
  <si>
    <t xml:space="preserve">7.458</t>
  </si>
  <si>
    <t xml:space="preserve">2-1/2"x2-1/2" | 5/16 | 7.458</t>
  </si>
  <si>
    <t xml:space="preserve">8.813</t>
  </si>
  <si>
    <t xml:space="preserve">2-1/2"x2-1/2" | 3/8 | 8.813</t>
  </si>
  <si>
    <t xml:space="preserve">3"x3"</t>
  </si>
  <si>
    <t xml:space="preserve">10.732</t>
  </si>
  <si>
    <t xml:space="preserve">3"x3" | 3/8 | 10.732</t>
  </si>
  <si>
    <t xml:space="preserve">4"x4"</t>
  </si>
  <si>
    <t xml:space="preserve">14.544</t>
  </si>
  <si>
    <t xml:space="preserve">4"x4" | 3/8 | 14.544</t>
  </si>
  <si>
    <t xml:space="preserve">19.055</t>
  </si>
  <si>
    <t xml:space="preserve">4"x4" | 1/2 | 19.055</t>
  </si>
  <si>
    <t xml:space="preserve">Thickness/Length Tolerance: ±5% ~ ±10%  |  Standard as: ASTM A36, JIS SS400  |  NOTE: Some sizes not included in regular rolling schedules</t>
  </si>
  <si>
    <r>
      <rPr>
        <sz val="11"/>
        <color theme="1"/>
        <rFont val="Calibri"/>
        <family val="2"/>
        <charset val="1"/>
      </rPr>
      <t xml:space="preserve">Galvanized Sheets </t>
    </r>
    <r>
      <rPr>
        <sz val="11"/>
        <color theme="1"/>
        <rFont val="Noto Sans CJK SC"/>
        <family val="2"/>
      </rPr>
      <t xml:space="preserve">砂喱板 </t>
    </r>
    <r>
      <rPr>
        <sz val="11"/>
        <color theme="1"/>
        <rFont val="Calibri"/>
        <family val="2"/>
        <charset val="1"/>
      </rPr>
      <t xml:space="preserve">&amp; Floor Grating </t>
    </r>
    <r>
      <rPr>
        <sz val="11"/>
        <color theme="1"/>
        <rFont val="Noto Sans CJK SC"/>
        <family val="2"/>
      </rPr>
      <t xml:space="preserve">脚踏板</t>
    </r>
  </si>
  <si>
    <t xml:space="preserve">JIS G3302 SGCC/SGHC galvanized sheets + electro-galvanized + floor grating  |  Jin Yuan Fa Hardware Industries Pte Ltd</t>
  </si>
  <si>
    <t xml:space="preserve">GALVANIZED SHEETS — JIS G3302-1987 SGCC / SGHC  (4'×8' = 1219×2438mm)</t>
  </si>
  <si>
    <t xml:space="preserve">Thick
(mm)</t>
  </si>
  <si>
    <t xml:space="preserve">Z18
Kg/pc</t>
  </si>
  <si>
    <t xml:space="preserve">Z18
lb/pc</t>
  </si>
  <si>
    <t xml:space="preserve">Z18
pcs/mt</t>
  </si>
  <si>
    <t xml:space="preserve">Z22/Z25
Kg/pc</t>
  </si>
  <si>
    <t xml:space="preserve">Thick
(mm) | Z18
Kg/pc | Z18
lb/pc | Z18
pcs/mt | Z22/Z25
Kg/pc</t>
  </si>
  <si>
    <t xml:space="preserve">7.724</t>
  </si>
  <si>
    <t xml:space="preserve">17.028</t>
  </si>
  <si>
    <t xml:space="preserve">129.5</t>
  </si>
  <si>
    <t xml:space="preserve">7.905</t>
  </si>
  <si>
    <t xml:space="preserve">0.3 | 7.724 | 17.028 | 129.5 | 7.905</t>
  </si>
  <si>
    <t xml:space="preserve">0.5</t>
  </si>
  <si>
    <t xml:space="preserve">12.39</t>
  </si>
  <si>
    <t xml:space="preserve">27.315</t>
  </si>
  <si>
    <t xml:space="preserve">80.7</t>
  </si>
  <si>
    <t xml:space="preserve">12.571</t>
  </si>
  <si>
    <t xml:space="preserve">0.5 | 12.39 | 27.315 | 80.7 | 12.571</t>
  </si>
  <si>
    <t xml:space="preserve">0.55</t>
  </si>
  <si>
    <t xml:space="preserve">13.556</t>
  </si>
  <si>
    <t xml:space="preserve">29.886</t>
  </si>
  <si>
    <t xml:space="preserve">13.738</t>
  </si>
  <si>
    <t xml:space="preserve">0.55 | 13.556 | 29.886 | 73.8 | 13.738</t>
  </si>
  <si>
    <t xml:space="preserve">19.389</t>
  </si>
  <si>
    <t xml:space="preserve">42.745</t>
  </si>
  <si>
    <t xml:space="preserve">19.57</t>
  </si>
  <si>
    <t xml:space="preserve">0.8 | 19.389 | 42.745 | 51.6 | 19.57</t>
  </si>
  <si>
    <t xml:space="preserve">24.055</t>
  </si>
  <si>
    <t xml:space="preserve">53.031</t>
  </si>
  <si>
    <t xml:space="preserve">41.6</t>
  </si>
  <si>
    <t xml:space="preserve">24.236</t>
  </si>
  <si>
    <t xml:space="preserve">1 | 24.055 | 53.031 | 41.6 | 24.236</t>
  </si>
  <si>
    <t xml:space="preserve">1.1</t>
  </si>
  <si>
    <t xml:space="preserve">26.388</t>
  </si>
  <si>
    <t xml:space="preserve">58.174</t>
  </si>
  <si>
    <t xml:space="preserve">37.9</t>
  </si>
  <si>
    <t xml:space="preserve">26.569</t>
  </si>
  <si>
    <t xml:space="preserve">1.1 | 26.388 | 58.174 | 37.9 | 26.569</t>
  </si>
  <si>
    <t xml:space="preserve">28.721</t>
  </si>
  <si>
    <t xml:space="preserve">63.318</t>
  </si>
  <si>
    <t xml:space="preserve">34.8</t>
  </si>
  <si>
    <t xml:space="preserve">28.902</t>
  </si>
  <si>
    <t xml:space="preserve">1.2 | 28.721 | 63.318 | 34.8 | 28.902</t>
  </si>
  <si>
    <t xml:space="preserve">36.886</t>
  </si>
  <si>
    <t xml:space="preserve">81.319</t>
  </si>
  <si>
    <t xml:space="preserve">37.067</t>
  </si>
  <si>
    <t xml:space="preserve">1.55 | 36.886 | 81.319 | 27.1 | 37.067</t>
  </si>
  <si>
    <t xml:space="preserve">38.052</t>
  </si>
  <si>
    <t xml:space="preserve">83.891</t>
  </si>
  <si>
    <t xml:space="preserve">26.3</t>
  </si>
  <si>
    <t xml:space="preserve">38.234</t>
  </si>
  <si>
    <t xml:space="preserve">1.6 | 38.052 | 83.891 | 26.3 | 38.234</t>
  </si>
  <si>
    <t xml:space="preserve">45.051</t>
  </si>
  <si>
    <t xml:space="preserve">99.32</t>
  </si>
  <si>
    <t xml:space="preserve">45.233</t>
  </si>
  <si>
    <t xml:space="preserve">1.9 | 45.051 | 99.32 | 22.2 | 45.233</t>
  </si>
  <si>
    <t xml:space="preserve">47.384</t>
  </si>
  <si>
    <t xml:space="preserve">104.463</t>
  </si>
  <si>
    <t xml:space="preserve">21.1</t>
  </si>
  <si>
    <t xml:space="preserve">47.566</t>
  </si>
  <si>
    <t xml:space="preserve">2 | 47.384 | 104.463 | 21.1 | 47.566</t>
  </si>
  <si>
    <t xml:space="preserve">54.383</t>
  </si>
  <si>
    <t xml:space="preserve">119.893</t>
  </si>
  <si>
    <t xml:space="preserve">18.4</t>
  </si>
  <si>
    <t xml:space="preserve">54.564</t>
  </si>
  <si>
    <t xml:space="preserve">2.3 | 54.383 | 119.893 | 18.4 | 54.564</t>
  </si>
  <si>
    <t xml:space="preserve">66.048</t>
  </si>
  <si>
    <t xml:space="preserve">145.609</t>
  </si>
  <si>
    <t xml:space="preserve">66.229</t>
  </si>
  <si>
    <t xml:space="preserve">2.8 | 66.048 | 145.609 | 15.1 | 66.229</t>
  </si>
  <si>
    <t xml:space="preserve">68.381</t>
  </si>
  <si>
    <t xml:space="preserve">150.753</t>
  </si>
  <si>
    <t xml:space="preserve">68.562</t>
  </si>
  <si>
    <t xml:space="preserve">2.9 | 68.381 | 150.753 | 14.6 | 68.562</t>
  </si>
  <si>
    <t xml:space="preserve">70.714</t>
  </si>
  <si>
    <t xml:space="preserve">155.896</t>
  </si>
  <si>
    <t xml:space="preserve">70.895</t>
  </si>
  <si>
    <t xml:space="preserve">3 | 70.714 | 155.896 | 14.1 | 70.895</t>
  </si>
  <si>
    <t xml:space="preserve">ELECTRO GALVANIZED STEEL SHEETS (4'×8' = 1219×2438mm)</t>
  </si>
  <si>
    <t xml:space="preserve">Gauge
SWG</t>
  </si>
  <si>
    <t xml:space="preserve">Sheet Size</t>
  </si>
  <si>
    <t xml:space="preserve">Unit Wt
(Kg/pc)</t>
  </si>
  <si>
    <t xml:space="preserve">Gauge
SWG | Thickness
(mm) | Sheet Size | Unit Wt
(Kg/pc)</t>
  </si>
  <si>
    <t xml:space="preserve">G-25</t>
  </si>
  <si>
    <t xml:space="preserve">4'x8'</t>
  </si>
  <si>
    <t xml:space="preserve">11.668</t>
  </si>
  <si>
    <t xml:space="preserve">G-25 | 0.5 | 4'x8' | 11.668</t>
  </si>
  <si>
    <t xml:space="preserve">G-24</t>
  </si>
  <si>
    <t xml:space="preserve">12.836</t>
  </si>
  <si>
    <t xml:space="preserve">G-24 | 0.55 | 4'x8' | 12.836</t>
  </si>
  <si>
    <t xml:space="preserve">G-22</t>
  </si>
  <si>
    <t xml:space="preserve">16.336</t>
  </si>
  <si>
    <t xml:space="preserve">G-22 | 0.7 | 4'x8' | 16.336</t>
  </si>
  <si>
    <t xml:space="preserve">G-21</t>
  </si>
  <si>
    <t xml:space="preserve">18.67</t>
  </si>
  <si>
    <t xml:space="preserve">G-21 | 0.8 | 4'x8' | 18.67</t>
  </si>
  <si>
    <t xml:space="preserve">G-20</t>
  </si>
  <si>
    <t xml:space="preserve">0.9</t>
  </si>
  <si>
    <t xml:space="preserve">21.004</t>
  </si>
  <si>
    <t xml:space="preserve">G-20 | 0.9 | 4'x8' | 21.004</t>
  </si>
  <si>
    <t xml:space="preserve">G-19</t>
  </si>
  <si>
    <t xml:space="preserve">23.338</t>
  </si>
  <si>
    <t xml:space="preserve">G-19 | 1 | 4'x8' | 23.338</t>
  </si>
  <si>
    <t xml:space="preserve">G-18</t>
  </si>
  <si>
    <t xml:space="preserve">28.005</t>
  </si>
  <si>
    <t xml:space="preserve">G-18 | 1.2 | 4'x8' | 28.005</t>
  </si>
  <si>
    <t xml:space="preserve">G-17</t>
  </si>
  <si>
    <t xml:space="preserve">35.006</t>
  </si>
  <si>
    <t xml:space="preserve">G-17 | 1.5 | 4'x8' | 35.006</t>
  </si>
  <si>
    <t xml:space="preserve">G-16</t>
  </si>
  <si>
    <t xml:space="preserve">37.34</t>
  </si>
  <si>
    <t xml:space="preserve">G-16 | 1.6 | 4'x8' | 37.34</t>
  </si>
  <si>
    <t xml:space="preserve">G-15</t>
  </si>
  <si>
    <t xml:space="preserve">44.341</t>
  </si>
  <si>
    <t xml:space="preserve">G-15 | 1.9 | 4'x8' | 44.341</t>
  </si>
  <si>
    <t xml:space="preserve">G-14</t>
  </si>
  <si>
    <t xml:space="preserve">46.758</t>
  </si>
  <si>
    <t xml:space="preserve">G-14 | 2 | 4'x8' | 46.758</t>
  </si>
  <si>
    <t xml:space="preserve">G-13</t>
  </si>
  <si>
    <t xml:space="preserve">53.678</t>
  </si>
  <si>
    <t xml:space="preserve">G-13 | 2.3 | 4'x8' | 53.678</t>
  </si>
  <si>
    <t xml:space="preserve">G-12</t>
  </si>
  <si>
    <t xml:space="preserve">58.344</t>
  </si>
  <si>
    <t xml:space="preserve">G-12 | 2.5 | 4'x8' | 58.344</t>
  </si>
  <si>
    <t xml:space="preserve">G-11</t>
  </si>
  <si>
    <t xml:space="preserve">67.679</t>
  </si>
  <si>
    <t xml:space="preserve">G-11 | 2.9 | 4'x8' | 67.679</t>
  </si>
  <si>
    <t xml:space="preserve">G-10</t>
  </si>
  <si>
    <t xml:space="preserve">70.013</t>
  </si>
  <si>
    <t xml:space="preserve">G-10 | 3 | 4'x8' | 70.013</t>
  </si>
  <si>
    <r>
      <rPr>
        <sz val="11"/>
        <color theme="1"/>
        <rFont val="Calibri"/>
        <family val="2"/>
        <charset val="1"/>
      </rPr>
      <t xml:space="preserve">FLOOR GRATING </t>
    </r>
    <r>
      <rPr>
        <sz val="11"/>
        <color theme="1"/>
        <rFont val="Noto Sans CJK SC"/>
        <family val="2"/>
      </rPr>
      <t xml:space="preserve">脚踏板 — </t>
    </r>
    <r>
      <rPr>
        <sz val="11"/>
        <color theme="1"/>
        <rFont val="Calibri"/>
        <family val="2"/>
        <charset val="1"/>
      </rPr>
      <t xml:space="preserve">Serrated/Plain Series 2</t>
    </r>
  </si>
  <si>
    <t xml:space="preserve">Cross Rod
Pitch (mm)</t>
  </si>
  <si>
    <t xml:space="preserve">Mass
(kg/m²)</t>
  </si>
  <si>
    <t xml:space="preserve">Load Bar
Size (mm)</t>
  </si>
  <si>
    <t xml:space="preserve">No. of Bar</t>
  </si>
  <si>
    <t xml:space="preserve">Type | Cross Rod
Pitch (mm) | Mass
(kg/m²) | Load Bar
Size (mm) | No. of Bar</t>
  </si>
  <si>
    <t xml:space="preserve">WA/254.5/2</t>
  </si>
  <si>
    <t xml:space="preserve">25×4.5</t>
  </si>
  <si>
    <t xml:space="preserve">WA/254.5/2 | 100 | 25.4 | 25×4.5 | 9</t>
  </si>
  <si>
    <t xml:space="preserve">WA/324.5/2</t>
  </si>
  <si>
    <t xml:space="preserve">31.7</t>
  </si>
  <si>
    <t xml:space="preserve">32×45</t>
  </si>
  <si>
    <t xml:space="preserve">WA/324.5/2 | 100 | 31.7 | 32×45 | 9</t>
  </si>
  <si>
    <t xml:space="preserve">Thickness/Length Tolerance: ±5% ~ ±10%  |  Standard as: JIS G3302-1987  |  EN S275JR, A36, JIS SS400 (floor grating)</t>
  </si>
  <si>
    <t xml:space="preserve">Calculators</t>
  </si>
  <si>
    <t xml:space="preserve">Section Weight Calculator</t>
  </si>
  <si>
    <t xml:space="preserve">Enter section details in blue cells — total weight auto-calculates</t>
  </si>
  <si>
    <t xml:space="preserve">Product Category</t>
  </si>
  <si>
    <t xml:space="preserve">Example Sizes</t>
  </si>
  <si>
    <t xml:space="preserve">Typical Kg/m Range</t>
  </si>
  <si>
    <t xml:space="preserve">Source Sheet</t>
  </si>
  <si>
    <t xml:space="preserve">Product Category | Example Sizes | Typical Kg/m Range | Source Sheet</t>
  </si>
  <si>
    <t xml:space="preserve">MS SHS (Square Hollow)</t>
  </si>
  <si>
    <t xml:space="preserve">12×12 to 400×400 mm</t>
  </si>
  <si>
    <t xml:space="preserve">0.34 – 141 kg/m</t>
  </si>
  <si>
    <t xml:space="preserve">MS SHS (Square Hollow) | 12×12 to 400×400 mm | 0.34 – 141 kg/m | MS SHS</t>
  </si>
  <si>
    <t xml:space="preserve">MS RHS (Rectangular Hollow)</t>
  </si>
  <si>
    <t xml:space="preserve">25×12 to 400×200 mm</t>
  </si>
  <si>
    <t xml:space="preserve">0.56 – 141 kg/m</t>
  </si>
  <si>
    <t xml:space="preserve">MS RHS (Rectangular Hollow) | 25×12 to 400×200 mm | 0.56 – 141 kg/m | MS RHS</t>
  </si>
  <si>
    <t xml:space="preserve">20×20 to 200×200 mm</t>
  </si>
  <si>
    <t xml:space="preserve">0.91 – 48.5 kg/m</t>
  </si>
  <si>
    <t xml:space="preserve">MS Equal Angles | 20×20 to 200×200 mm | 0.91 – 48.5 kg/m | MS Equal Angles</t>
  </si>
  <si>
    <t xml:space="preserve">30×20 to 200×100 mm</t>
  </si>
  <si>
    <t xml:space="preserve">0.88 – 25.4 kg/m</t>
  </si>
  <si>
    <t xml:space="preserve">MS Unequal Angles | 30×20 to 200×100 mm | 0.88 – 25.4 kg/m | MS Unequal Angles</t>
  </si>
  <si>
    <t xml:space="preserve">3×16 to 12×200 mm</t>
  </si>
  <si>
    <t xml:space="preserve">0.38 – 18.8 kg/m</t>
  </si>
  <si>
    <t xml:space="preserve">MS Shipbuild Flat | 3×16 to 12×200 mm | 0.38 – 18.8 kg/m | MS Shipbuild Flat</t>
  </si>
  <si>
    <t xml:space="preserve">OD 21.7 to 165.2 mm</t>
  </si>
  <si>
    <t xml:space="preserve">0.85 – 24.5 kg/m</t>
  </si>
  <si>
    <t xml:space="preserve">MS Carbon Pipe | OD 21.7 to 165.2 mm | 0.85 – 24.5 kg/m | MS Carbon Pipe</t>
  </si>
  <si>
    <t xml:space="preserve">1.2 to 50 mm thick</t>
  </si>
  <si>
    <t xml:space="preserve">by sheet weight</t>
  </si>
  <si>
    <t xml:space="preserve">MS HR Plates | 1.2 to 50 mm thick | by sheet weight | MS HR Plates</t>
  </si>
  <si>
    <t xml:space="preserve">12 to 150 mm side</t>
  </si>
  <si>
    <t xml:space="preserve">by availability matrix</t>
  </si>
  <si>
    <t xml:space="preserve">SS SQ Tube | 12 to 150 mm side | by availability matrix | SS SQ Tube</t>
  </si>
  <si>
    <t xml:space="preserve">Various rectangular</t>
  </si>
  <si>
    <t xml:space="preserve">SS RHS Tube | Various rectangular | by availability matrix | SS RHS Tube</t>
  </si>
  <si>
    <t xml:space="preserve">6.35 to 273 mm OD</t>
  </si>
  <si>
    <t xml:space="preserve">SS Round Tube | 6.35 to 273 mm OD | by availability matrix | SS Round Tube</t>
  </si>
  <si>
    <t xml:space="preserve">Manual Weight Calculator</t>
  </si>
  <si>
    <t xml:space="preserve">Item</t>
  </si>
  <si>
    <t xml:space="preserve">Section Description</t>
  </si>
  <si>
    <t xml:space="preserve">Length
(m)</t>
  </si>
  <si>
    <t xml:space="preserve">Quantity
(pcs)</t>
  </si>
  <si>
    <t xml:space="preserve">Item | Section Description | Unit Weight
(kg/m) | Length
(m) | Quantity
(pcs)</t>
  </si>
  <si>
    <t xml:space="preserve">TOTAL</t>
  </si>
  <si>
    <t xml:space="preserve">Blue cells = user input. Look up unit weight from the relevant product sheet, then enter here.</t>
  </si>
  <si>
    <t xml:space="preserve">Material Cost Comparison — MS vs SS vs Aluminium</t>
  </si>
  <si>
    <t xml:space="preserve">Enter material prices in blue cells — cost per meter and cost per unit strength auto-calculate</t>
  </si>
  <si>
    <t xml:space="preserve">Material Price Assumptions</t>
  </si>
  <si>
    <t xml:space="preserve">Material</t>
  </si>
  <si>
    <t xml:space="preserve">Unit Price
($/kg)</t>
  </si>
  <si>
    <t xml:space="preserve">Yield Strength
(MPa)</t>
  </si>
  <si>
    <t xml:space="preserve">Material | Grade | Unit Price
($/kg) | Density
(kg/m³) | Yield Strength
(MPa)</t>
  </si>
  <si>
    <t xml:space="preserve">Mild Steel</t>
  </si>
  <si>
    <t xml:space="preserve">S275JR</t>
  </si>
  <si>
    <t xml:space="preserve">Mild Steel | S275JR | 3.5 | 7850 | 275</t>
  </si>
  <si>
    <t xml:space="preserve">S355JR</t>
  </si>
  <si>
    <t xml:space="preserve">Mild Steel | S355JR | 3.8 | 7850 | 355</t>
  </si>
  <si>
    <t xml:space="preserve">Mild Steel | S460 | 5 | 7850 | 460</t>
  </si>
  <si>
    <t xml:space="preserve">Stainless</t>
  </si>
  <si>
    <t xml:space="preserve">Stainless | SS304 | 8.5 | 7900 | 210</t>
  </si>
  <si>
    <t xml:space="preserve">Stainless | SS316L | 12 | 7980 | 220</t>
  </si>
  <si>
    <t xml:space="preserve">Aluminium | 6061-T6 | 8 | 2700 | 276</t>
  </si>
  <si>
    <t xml:space="preserve">Aluminium | 6082-T6 | 8.5 | 2700 | 260</t>
  </si>
  <si>
    <t xml:space="preserve">S275+Galv</t>
  </si>
  <si>
    <t xml:space="preserve">Galvanised MS | S275+Galv | 4.5 | 7850 | 275</t>
  </si>
  <si>
    <t xml:space="preserve">Section Cost Calculator</t>
  </si>
  <si>
    <t xml:space="preserve">Enter section details to compare material cost for the same structural element</t>
  </si>
  <si>
    <t xml:space="preserve">Material /
Grade</t>
  </si>
  <si>
    <t xml:space="preserve">Unit Wt
(kg/m)</t>
  </si>
  <si>
    <t xml:space="preserve">Price
($/kg)</t>
  </si>
  <si>
    <t xml:space="preserve">Item | Section Description | Material /
Grade | Unit Wt
(kg/m) | Price
($/kg)</t>
  </si>
  <si>
    <t xml:space="preserve">GRAND TOTAL</t>
  </si>
  <si>
    <t xml:space="preserve">MS ↔ SS Hollow Section Equivalence Finder</t>
  </si>
  <si>
    <t xml:space="preserve">Matching nominal sizes between JYF mild steel and TSA stainless steel hollow sections</t>
  </si>
  <si>
    <t xml:space="preserve">A. Square Hollow Sections — MS SHS vs SS SQ Tube</t>
  </si>
  <si>
    <t xml:space="preserve">Nominal Size
(mm)</t>
  </si>
  <si>
    <t xml:space="preserve">MS Wall
(mm)</t>
  </si>
  <si>
    <t xml:space="preserve">MS Kg/m</t>
  </si>
  <si>
    <t xml:space="preserve">MS Kg/6m</t>
  </si>
  <si>
    <t xml:space="preserve">SS Walls
Available</t>
  </si>
  <si>
    <t xml:space="preserve">Nominal Size
(mm) | MS Wall
(mm) | MS Kg/m | MS Kg/6m | SS Walls
Available</t>
  </si>
  <si>
    <t xml:space="preserve">12×12</t>
  </si>
  <si>
    <t xml:space="preserve">0.6, 0.7, 0.8, 1.0, 1.2</t>
  </si>
  <si>
    <t xml:space="preserve">12×12 | 1 | 0.339 | 2.032 | 0.6, 0.7, 0.8, 1.0, 1.2</t>
  </si>
  <si>
    <t xml:space="preserve">16×16</t>
  </si>
  <si>
    <t xml:space="preserve">0.6, 0.7, 0.8, 1.0, 1.2, 1.6</t>
  </si>
  <si>
    <t xml:space="preserve">16×16 | 1 | 0.464 | 2.768 | 0.6, 0.7, 0.8, 1.0, 1.2, 1.6</t>
  </si>
  <si>
    <t xml:space="preserve">19×19</t>
  </si>
  <si>
    <t xml:space="preserve">19×19 | 1 | 0.559 | 3.351 | 0.6, 0.7, 0.8, 1.0, 1.2, 1.6</t>
  </si>
  <si>
    <t xml:space="preserve">25×25</t>
  </si>
  <si>
    <t xml:space="preserve">0.874</t>
  </si>
  <si>
    <t xml:space="preserve">5.245</t>
  </si>
  <si>
    <t xml:space="preserve">0.6–2.0</t>
  </si>
  <si>
    <t xml:space="preserve">25×25 | 1.2 | 0.874 | 5.245 | 0.6–2.0</t>
  </si>
  <si>
    <t xml:space="preserve">32×32</t>
  </si>
  <si>
    <t xml:space="preserve">1.505</t>
  </si>
  <si>
    <t xml:space="preserve">9.028</t>
  </si>
  <si>
    <t xml:space="preserve">0.8–2.5</t>
  </si>
  <si>
    <t xml:space="preserve">32×32 | 1.6 | 1.505 | 9.028 | 0.8–2.5</t>
  </si>
  <si>
    <t xml:space="preserve">38×38</t>
  </si>
  <si>
    <t xml:space="preserve">1.808</t>
  </si>
  <si>
    <t xml:space="preserve">10.846</t>
  </si>
  <si>
    <t xml:space="preserve">0.8–3.0</t>
  </si>
  <si>
    <t xml:space="preserve">38×38 | 1.6 | 1.808 | 10.846 | 0.8–3.0</t>
  </si>
  <si>
    <t xml:space="preserve">50×50</t>
  </si>
  <si>
    <t xml:space="preserve">2.413</t>
  </si>
  <si>
    <t xml:space="preserve">14.476</t>
  </si>
  <si>
    <t xml:space="preserve">50×50 | 1.6 | 2.413 | 14.476 | 0.8–3.0</t>
  </si>
  <si>
    <t xml:space="preserve">75×75</t>
  </si>
  <si>
    <t xml:space="preserve">5.216</t>
  </si>
  <si>
    <t xml:space="preserve">31.295</t>
  </si>
  <si>
    <t xml:space="preserve">1.0–3.0</t>
  </si>
  <si>
    <t xml:space="preserve">75×75 | 2.3 | 5.216 | 31.295 | 1.0–3.0</t>
  </si>
  <si>
    <t xml:space="preserve">100×100</t>
  </si>
  <si>
    <t xml:space="preserve">57.72</t>
  </si>
  <si>
    <t xml:space="preserve">1.2–6.0</t>
  </si>
  <si>
    <t xml:space="preserve">100×100 | 3.2 | 9.62 | 57.72 | 1.2–6.0</t>
  </si>
  <si>
    <t xml:space="preserve">150×150</t>
  </si>
  <si>
    <t xml:space="preserve">20.4</t>
  </si>
  <si>
    <t xml:space="preserve">122.4</t>
  </si>
  <si>
    <t xml:space="preserve">1.5–6.0</t>
  </si>
  <si>
    <t xml:space="preserve">150×150 | 4.5 | 20.4 | 122.4 | 1.5–6.0</t>
  </si>
  <si>
    <t xml:space="preserve">B. Rectangular Hollow Sections — MS RHS vs SS RHS Tube</t>
  </si>
  <si>
    <t xml:space="preserve">25×12</t>
  </si>
  <si>
    <t xml:space="preserve">0.655</t>
  </si>
  <si>
    <t xml:space="preserve">3.929</t>
  </si>
  <si>
    <t xml:space="preserve">0.6–1.5</t>
  </si>
  <si>
    <t xml:space="preserve">25×12 | 1.2 | 0.655 | 3.929 | 0.6–1.5</t>
  </si>
  <si>
    <t xml:space="preserve">40×20</t>
  </si>
  <si>
    <t xml:space="preserve">1.404</t>
  </si>
  <si>
    <t xml:space="preserve">8.427</t>
  </si>
  <si>
    <t xml:space="preserve">0.8–2.0</t>
  </si>
  <si>
    <t xml:space="preserve">40×20 | 1.6 | 1.404 | 8.427 | 0.8–2.0</t>
  </si>
  <si>
    <t xml:space="preserve">50×25</t>
  </si>
  <si>
    <t xml:space="preserve">50×25 | 1.6 | 1.808 | 10.846 | 0.8–2.5</t>
  </si>
  <si>
    <t xml:space="preserve">75×50</t>
  </si>
  <si>
    <t xml:space="preserve">4.414</t>
  </si>
  <si>
    <t xml:space="preserve">26.484</t>
  </si>
  <si>
    <t xml:space="preserve">75×50 | 2.3 | 4.414 | 26.484 | 1.0–3.0</t>
  </si>
  <si>
    <t xml:space="preserve">100×50</t>
  </si>
  <si>
    <t xml:space="preserve">5.416</t>
  </si>
  <si>
    <t xml:space="preserve">32.496</t>
  </si>
  <si>
    <t xml:space="preserve">1.2–3.0</t>
  </si>
  <si>
    <t xml:space="preserve">100×50 | 2.3 | 5.416 | 32.496 | 1.2–3.0</t>
  </si>
  <si>
    <t xml:space="preserve">150×75</t>
  </si>
  <si>
    <t xml:space="preserve">15.27</t>
  </si>
  <si>
    <t xml:space="preserve">91.62</t>
  </si>
  <si>
    <t xml:space="preserve">150×75 | 4.5 | 15.27 | 91.62 | 1.5–6.0</t>
  </si>
  <si>
    <t xml:space="preserve">C. Material Selection Guide</t>
  </si>
  <si>
    <t xml:space="preserve">Choose MS when:</t>
  </si>
  <si>
    <t xml:space="preserve">Cost is primary driver, indoor/dry environment, can be painted or galvanised, structural strength is key</t>
  </si>
  <si>
    <t xml:space="preserve">Choose MS when: | Cost is primary driver, indoor/dry environment, can be painted or galvanised, structural strength is key</t>
  </si>
  <si>
    <t xml:space="preserve">Choose SS when:</t>
  </si>
  <si>
    <t xml:space="preserve">Corrosion resistance essential (marine, chemical, food), aesthetic finish required, lifecycle cost favours SS</t>
  </si>
  <si>
    <t xml:space="preserve">Choose SS when: | Corrosion resistance essential (marine, chemical, food), aesthetic finish required, lifecycle cost favours SS</t>
  </si>
  <si>
    <t xml:space="preserve">Choose Aluminium when:</t>
  </si>
  <si>
    <t xml:space="preserve">Weight reduction critical, corrosion resistance needed, lower strength acceptable, aircraft/marine/façade</t>
  </si>
  <si>
    <t xml:space="preserve">Choose Aluminium when: | Weight reduction critical, corrosion resistance needed, lower strength acceptable, aircraft/marine/façade</t>
  </si>
  <si>
    <t xml:space="preserve">Yield advantage:</t>
  </si>
  <si>
    <t xml:space="preserve">MS S275 = 275 MPa vs SS304 = 210 MPa → MS is 31% stronger per cross-section</t>
  </si>
  <si>
    <t xml:space="preserve">Yield advantage: | MS S275 = 275 MPa vs SS304 = 210 MPa → MS is 31% stronger per cross-section</t>
  </si>
  <si>
    <t xml:space="preserve">Weight advantage:</t>
  </si>
  <si>
    <t xml:space="preserve">At same nominal size &amp; wall, MS and SS weigh almost identically (density ~7850 vs 7900 kg/m³)</t>
  </si>
  <si>
    <t xml:space="preserve">Weight advantage: | At same nominal size &amp; wall, MS and SS weigh almost identically (density ~7850 vs 7900 kg/m³)</t>
  </si>
  <si>
    <t xml:space="preserve">Cost advantage:</t>
  </si>
  <si>
    <t xml:space="preserve">MS typically 2.5–3.5× cheaper per kg than SS304</t>
  </si>
  <si>
    <t xml:space="preserve">Cost advantage: | MS typically 2.5–3.5× cheaper per kg than SS304</t>
  </si>
  <si>
    <t xml:space="preserve">Unit Conversion Quick Reference</t>
  </si>
  <si>
    <t xml:space="preserve">Enter a value in column C (blue) — converted result appears in column E</t>
  </si>
  <si>
    <t xml:space="preserve">Input Value</t>
  </si>
  <si>
    <t xml:space="preserve">From</t>
  </si>
  <si>
    <t xml:space="preserve">→</t>
  </si>
  <si>
    <t xml:space="preserve">Result</t>
  </si>
  <si>
    <t xml:space="preserve">Category | Input Value | From | → | Result</t>
  </si>
  <si>
    <t xml:space="preserve">mm</t>
  </si>
  <si>
    <t xml:space="preserve">[Formula]</t>
  </si>
  <si>
    <t xml:space="preserve">Length | mm | → | [Formula]</t>
  </si>
  <si>
    <t xml:space="preserve">inches</t>
  </si>
  <si>
    <t xml:space="preserve">Length | inches | → | [Formula]</t>
  </si>
  <si>
    <t xml:space="preserve">m</t>
  </si>
  <si>
    <t xml:space="preserve">Length | m | → | [Formula]</t>
  </si>
  <si>
    <t xml:space="preserve">feet</t>
  </si>
  <si>
    <t xml:space="preserve">Length | feet | → | [Formula]</t>
  </si>
  <si>
    <t xml:space="preserve">Weight/m</t>
  </si>
  <si>
    <t xml:space="preserve">Weight/m | kg/m | → | [Formula]</t>
  </si>
  <si>
    <t xml:space="preserve">lb/ft</t>
  </si>
  <si>
    <t xml:space="preserve">Weight/m | lb/ft | → | [Formula]</t>
  </si>
  <si>
    <t xml:space="preserve">Mass</t>
  </si>
  <si>
    <t xml:space="preserve">kg</t>
  </si>
  <si>
    <t xml:space="preserve">Mass | kg | → | [Formula]</t>
  </si>
  <si>
    <t xml:space="preserve">tonnes</t>
  </si>
  <si>
    <t xml:space="preserve">Mass | tonnes | → | [Formula]</t>
  </si>
  <si>
    <t xml:space="preserve">Pressure</t>
  </si>
  <si>
    <t xml:space="preserve">MPa</t>
  </si>
  <si>
    <t xml:space="preserve">Pressure | MPa | → | [Formula]</t>
  </si>
  <si>
    <t xml:space="preserve">ksi</t>
  </si>
  <si>
    <t xml:space="preserve">Pressure | ksi | → | [Formula]</t>
  </si>
  <si>
    <t xml:space="preserve">Force</t>
  </si>
  <si>
    <t xml:space="preserve">kN</t>
  </si>
  <si>
    <t xml:space="preserve">Force | kN | → | [Formula]</t>
  </si>
  <si>
    <t xml:space="preserve">lbf</t>
  </si>
  <si>
    <t xml:space="preserve">Force | lbf | → | [Formula]</t>
  </si>
  <si>
    <t xml:space="preserve">Area weight</t>
  </si>
  <si>
    <t xml:space="preserve">kg/m²</t>
  </si>
  <si>
    <t xml:space="preserve">Area weight | kg/m² | → | [Formula]</t>
  </si>
  <si>
    <t xml:space="preserve">psf</t>
  </si>
  <si>
    <t xml:space="preserve">Area weight | psf | → | [Formula]</t>
  </si>
  <si>
    <t xml:space="preserve">Moment</t>
  </si>
  <si>
    <t xml:space="preserve">kN·m</t>
  </si>
  <si>
    <t xml:space="preserve">Moment | kN·m | → | [Formula]</t>
  </si>
  <si>
    <t xml:space="preserve">Temperature</t>
  </si>
  <si>
    <t xml:space="preserve">°C</t>
  </si>
  <si>
    <t xml:space="preserve">Temperature | °C | → | [Formula]</t>
  </si>
  <si>
    <t xml:space="preserve">°F</t>
  </si>
  <si>
    <t xml:space="preserve">Temperature | °F | → | [Formula]</t>
  </si>
  <si>
    <t xml:space="preserve">Area</t>
  </si>
  <si>
    <t xml:space="preserve">mm²</t>
  </si>
  <si>
    <t xml:space="preserve">Area | mm² | → | [Formula]</t>
  </si>
  <si>
    <t xml:space="preserve">Moment inertia</t>
  </si>
  <si>
    <t xml:space="preserve">cm⁴</t>
  </si>
  <si>
    <t xml:space="preserve">Moment inertia | cm⁴ | → | [Formula]</t>
  </si>
  <si>
    <t xml:space="preserve">Glossary of Abbreviations &amp; Technical Terms</t>
  </si>
  <si>
    <t xml:space="preserve">Abbreviation</t>
  </si>
  <si>
    <t xml:space="preserve">Full Term</t>
  </si>
  <si>
    <t xml:space="preserve">Abbreviation | Full Term | Category | Notes</t>
  </si>
  <si>
    <t xml:space="preserve">SHS</t>
  </si>
  <si>
    <t xml:space="preserve">Square Hollow Section</t>
  </si>
  <si>
    <t xml:space="preserve">Section type</t>
  </si>
  <si>
    <t xml:space="preserve">Closed square profile; MS SHS in JYF catalogue</t>
  </si>
  <si>
    <t xml:space="preserve">SHS | Square Hollow Section | Section type | Closed square profile; MS SHS in JYF catalogue</t>
  </si>
  <si>
    <t xml:space="preserve">RHS</t>
  </si>
  <si>
    <t xml:space="preserve">Rectangular Hollow Section</t>
  </si>
  <si>
    <t xml:space="preserve">Closed rectangular profile</t>
  </si>
  <si>
    <t xml:space="preserve">RHS | Rectangular Hollow Section | Section type | Closed rectangular profile</t>
  </si>
  <si>
    <t xml:space="preserve">CHS</t>
  </si>
  <si>
    <t xml:space="preserve">Circular Hollow Section</t>
  </si>
  <si>
    <t xml:space="preserve">Round tube / pipe</t>
  </si>
  <si>
    <t xml:space="preserve">CHS | Circular Hollow Section | Section type | Round tube / pipe</t>
  </si>
  <si>
    <t xml:space="preserve">OD</t>
  </si>
  <si>
    <t xml:space="preserve">Outside Diameter</t>
  </si>
  <si>
    <t xml:space="preserve">Dimension</t>
  </si>
  <si>
    <t xml:space="preserve">Used for pipes and round tubes</t>
  </si>
  <si>
    <t xml:space="preserve">OD | Outside Diameter | Dimension | Used for pipes and round tubes</t>
  </si>
  <si>
    <t xml:space="preserve">ID</t>
  </si>
  <si>
    <t xml:space="preserve">Inside Diameter</t>
  </si>
  <si>
    <t xml:space="preserve">OD minus 2× wall thickness</t>
  </si>
  <si>
    <t xml:space="preserve">ID | Inside Diameter | Dimension | OD minus 2× wall thickness</t>
  </si>
  <si>
    <t xml:space="preserve">WT</t>
  </si>
  <si>
    <t xml:space="preserve">Wall Thickness</t>
  </si>
  <si>
    <t xml:space="preserve">Thickness of hollow section wall</t>
  </si>
  <si>
    <t xml:space="preserve">WT | Wall Thickness | Dimension | Thickness of hollow section wall</t>
  </si>
  <si>
    <t xml:space="preserve">CEV</t>
  </si>
  <si>
    <t xml:space="preserve">Carbon Equivalent Value</t>
  </si>
  <si>
    <t xml:space="preserve">IIW formula: C + Mn/6 + (Cr+Mo+V)/5 + (Ni+Cu)/15</t>
  </si>
  <si>
    <t xml:space="preserve">CEV | Carbon Equivalent Value | Weldability | IIW formula: C + Mn/6 + (Cr+Mo+V)/5 + (Ni+Cu)/15</t>
  </si>
  <si>
    <t xml:space="preserve">HAZ</t>
  </si>
  <si>
    <t xml:space="preserve">Heat Affected Zone</t>
  </si>
  <si>
    <t xml:space="preserve">Welding</t>
  </si>
  <si>
    <t xml:space="preserve">Zone adjacent to weld where properties are altered</t>
  </si>
  <si>
    <t xml:space="preserve">HAZ | Heat Affected Zone | Welding | Zone adjacent to weld where properties are altered</t>
  </si>
  <si>
    <t xml:space="preserve">PWHT</t>
  </si>
  <si>
    <t xml:space="preserve">Post-Weld Heat Treatment</t>
  </si>
  <si>
    <t xml:space="preserve">Controlled heating after welding to relieve stress</t>
  </si>
  <si>
    <t xml:space="preserve">PWHT | Post-Weld Heat Treatment | Welding | Controlled heating after welding to relieve stress</t>
  </si>
  <si>
    <t xml:space="preserve">ReH</t>
  </si>
  <si>
    <t xml:space="preserve">Upper Yield Strength</t>
  </si>
  <si>
    <t xml:space="preserve">Mechanical</t>
  </si>
  <si>
    <t xml:space="preserve">Sharp yield point in carbon steels (EN definition)</t>
  </si>
  <si>
    <t xml:space="preserve">ReH | Upper Yield Strength | Mechanical | Sharp yield point in carbon steels (EN definition)</t>
  </si>
  <si>
    <t xml:space="preserve">Rp0.2</t>
  </si>
  <si>
    <t xml:space="preserve">0.2% Proof Strength</t>
  </si>
  <si>
    <t xml:space="preserve">Yield point for SS / Alu — 0.2% permanent strain offset</t>
  </si>
  <si>
    <t xml:space="preserve">Rp0.2 | 0.2% Proof Strength | Mechanical | Yield point for SS / Alu — 0.2% permanent strain offset</t>
  </si>
  <si>
    <t xml:space="preserve">Rm</t>
  </si>
  <si>
    <t xml:space="preserve">Tensile Strength (Ultimate)</t>
  </si>
  <si>
    <t xml:space="preserve">Maximum stress before fracture</t>
  </si>
  <si>
    <t xml:space="preserve">Rm | Tensile Strength (Ultimate) | Mechanical | Maximum stress before fracture</t>
  </si>
  <si>
    <t xml:space="preserve">Megapascal</t>
  </si>
  <si>
    <t xml:space="preserve">Unit</t>
  </si>
  <si>
    <t xml:space="preserve">1 MPa = 1 N/mm² = 145 psi</t>
  </si>
  <si>
    <t xml:space="preserve">MPa | Megapascal | Unit | 1 MPa = 1 N/mm² = 145 psi</t>
  </si>
  <si>
    <t xml:space="preserve">Kilonewton</t>
  </si>
  <si>
    <t xml:space="preserve">1 kN = 1000 N ≈ 224.8 lbf</t>
  </si>
  <si>
    <t xml:space="preserve">kN | Kilonewton | Unit | 1 kN = 1000 N ≈ 224.8 lbf</t>
  </si>
  <si>
    <t xml:space="preserve">GPa</t>
  </si>
  <si>
    <t xml:space="preserve">Gigapascal</t>
  </si>
  <si>
    <t xml:space="preserve">1 GPa = 1000 MPa (Young's modulus unit)</t>
  </si>
  <si>
    <t xml:space="preserve">GPa | Gigapascal | Unit | 1 GPa = 1000 MPa (Young's modulus unit)</t>
  </si>
  <si>
    <t xml:space="preserve">SGCC</t>
  </si>
  <si>
    <t xml:space="preserve">Steel Galvanized Cold Commercial</t>
  </si>
  <si>
    <t xml:space="preserve">JIS G3302 designation for hot-dip galvanised sheet</t>
  </si>
  <si>
    <t xml:space="preserve">SGCC | Steel Galvanized Cold Commercial | Material | JIS G3302 designation for hot-dip galvanised sheet</t>
  </si>
  <si>
    <t xml:space="preserve">SGHC</t>
  </si>
  <si>
    <t xml:space="preserve">Steel Galvanized Hot Commercial</t>
  </si>
  <si>
    <t xml:space="preserve">SGHC | Steel Galvanized Hot Commercial | Material | JIS G3302 designation for hot-dip galvanised sheet</t>
  </si>
  <si>
    <t xml:space="preserve">ASTM</t>
  </si>
  <si>
    <t xml:space="preserve">American Society for Testing and Materials</t>
  </si>
  <si>
    <t xml:space="preserve">US material standards body (e.g. A36, A554)</t>
  </si>
  <si>
    <t xml:space="preserve">ASTM | American Society for Testing and Materials | Standard | US material standards body (e.g. A36, A554)</t>
  </si>
  <si>
    <t xml:space="preserve">EN</t>
  </si>
  <si>
    <t xml:space="preserve">European Norm</t>
  </si>
  <si>
    <t xml:space="preserve">Harmonised European standard (e.g. EN 10025)</t>
  </si>
  <si>
    <t xml:space="preserve">EN | European Norm | Standard | Harmonised European standard (e.g. EN 10025)</t>
  </si>
  <si>
    <t xml:space="preserve">JIS</t>
  </si>
  <si>
    <t xml:space="preserve">Japanese Industrial Standards</t>
  </si>
  <si>
    <t xml:space="preserve">Japanese material standards (e.g. SS400, G3302)</t>
  </si>
  <si>
    <t xml:space="preserve">JIS | Japanese Industrial Standards | Standard | Japanese material standards (e.g. SS400, G3302)</t>
  </si>
  <si>
    <t xml:space="preserve">BS</t>
  </si>
  <si>
    <t xml:space="preserve">British Standard</t>
  </si>
  <si>
    <t xml:space="preserve">UK standards, many now adopted as BS EN</t>
  </si>
  <si>
    <t xml:space="preserve">BS | British Standard | Standard | UK standards, many now adopted as BS EN</t>
  </si>
  <si>
    <t xml:space="preserve">EC3</t>
  </si>
  <si>
    <t xml:space="preserve">Eurocode 3</t>
  </si>
  <si>
    <t xml:space="preserve">Design code</t>
  </si>
  <si>
    <t xml:space="preserve">EN 1993 — structural steel design</t>
  </si>
  <si>
    <t xml:space="preserve">EC3 | Eurocode 3 | Design code | EN 1993 — structural steel design</t>
  </si>
  <si>
    <t xml:space="preserve">EC9</t>
  </si>
  <si>
    <t xml:space="preserve">Eurocode 9</t>
  </si>
  <si>
    <t xml:space="preserve">EN 1999 — aluminium structural design</t>
  </si>
  <si>
    <t xml:space="preserve">EC9 | Eurocode 9 | Design code | EN 1999 — aluminium structural design</t>
  </si>
  <si>
    <t xml:space="preserve">ETA</t>
  </si>
  <si>
    <t xml:space="preserve">European Technical Assessment</t>
  </si>
  <si>
    <t xml:space="preserve">Approval</t>
  </si>
  <si>
    <t xml:space="preserve">Product approval for anchors and fixings (e.g. Fischer ETA)</t>
  </si>
  <si>
    <t xml:space="preserve">ETA | European Technical Assessment | Approval | Product approval for anchors and fixings (e.g. Fischer ETA)</t>
  </si>
  <si>
    <t xml:space="preserve">γM0</t>
  </si>
  <si>
    <t xml:space="preserve">Partial Safety Factor (resistance)</t>
  </si>
  <si>
    <t xml:space="preserve">Design</t>
  </si>
  <si>
    <t xml:space="preserve">Material resistance factor — 1.00 for CS, 1.10 for SS/Alu</t>
  </si>
  <si>
    <t xml:space="preserve">γM0 | Partial Safety Factor (resistance) | Design | Material resistance factor — 1.00 for CS, 1.10 for SS/Alu</t>
  </si>
  <si>
    <t xml:space="preserve">FBN</t>
  </si>
  <si>
    <t xml:space="preserve">Fischer Bolt Anchor</t>
  </si>
  <si>
    <t xml:space="preserve">Fixing</t>
  </si>
  <si>
    <t xml:space="preserve">Mechanical expansion anchor for non-cracked concrete</t>
  </si>
  <si>
    <t xml:space="preserve">FBN | Fischer Bolt Anchor | Fixing | Mechanical expansion anchor for non-cracked concrete</t>
  </si>
  <si>
    <t xml:space="preserve">FAZ</t>
  </si>
  <si>
    <t xml:space="preserve">Fischer Anchor Bolt (high-perf)</t>
  </si>
  <si>
    <t xml:space="preserve">High-performance anchor for cracked concrete</t>
  </si>
  <si>
    <t xml:space="preserve">FAZ | Fischer Anchor Bolt (high-perf) | Fixing | High-performance anchor for cracked concrete</t>
  </si>
  <si>
    <t xml:space="preserve">FIS V</t>
  </si>
  <si>
    <t xml:space="preserve">Fischer Injection System V</t>
  </si>
  <si>
    <t xml:space="preserve">Chemical/resin anchor system for bonded installations</t>
  </si>
  <si>
    <t xml:space="preserve">FIS V | Fischer Injection System V | Fixing | Chemical/resin anchor system for bonded installations</t>
  </si>
  <si>
    <t xml:space="preserve">hef</t>
  </si>
  <si>
    <t xml:space="preserve">Effective Anchorage Depth</t>
  </si>
  <si>
    <t xml:space="preserve">Anchor design</t>
  </si>
  <si>
    <t xml:space="preserve">Depth of anchor expansion in concrete</t>
  </si>
  <si>
    <t xml:space="preserve">hef | Effective Anchorage Depth | Anchor design | Depth of anchor expansion in concrete</t>
  </si>
  <si>
    <t xml:space="preserve">NRd</t>
  </si>
  <si>
    <t xml:space="preserve">Design Resistance (Tension)</t>
  </si>
  <si>
    <t xml:space="preserve">Maximum design tension load per Eurocode</t>
  </si>
  <si>
    <t xml:space="preserve">NRd | Design Resistance (Tension) | Anchor design | Maximum design tension load per Eurocode</t>
  </si>
  <si>
    <t xml:space="preserve">VRd</t>
  </si>
  <si>
    <t xml:space="preserve">Design Resistance (Shear)</t>
  </si>
  <si>
    <t xml:space="preserve">Maximum design shear load per Eurocode</t>
  </si>
  <si>
    <t xml:space="preserve">VRd | Design Resistance (Shear) | Anchor design | Maximum design shear load per Eurocode</t>
  </si>
  <si>
    <t xml:space="preserve">DL</t>
  </si>
  <si>
    <t xml:space="preserve">Dead Load</t>
  </si>
  <si>
    <t xml:space="preserve">Structural load</t>
  </si>
  <si>
    <t xml:space="preserve">Permanent self-weight of structure and finishes</t>
  </si>
  <si>
    <t xml:space="preserve">DL | Dead Load | Structural load | Permanent self-weight of structure and finishes</t>
  </si>
  <si>
    <t xml:space="preserve">LL</t>
  </si>
  <si>
    <t xml:space="preserve">Live Load</t>
  </si>
  <si>
    <t xml:space="preserve">Imposed / occupancy load (people, equipment)</t>
  </si>
  <si>
    <t xml:space="preserve">LL | Live Load | Structural load | Imposed / occupancy load (people, equipment)</t>
  </si>
  <si>
    <t xml:space="preserve">WL</t>
  </si>
  <si>
    <t xml:space="preserve">Wind Load</t>
  </si>
  <si>
    <t xml:space="preserve">Lateral force from wind pressure on surfaces</t>
  </si>
  <si>
    <t xml:space="preserve">WL | Wind Load | Structural load | Lateral force from wind pressure on surfaces</t>
  </si>
  <si>
    <t xml:space="preserve">ULS</t>
  </si>
  <si>
    <t xml:space="preserve">Ultimate Limit State</t>
  </si>
  <si>
    <t xml:space="preserve">Structural failure check — factored loads</t>
  </si>
  <si>
    <t xml:space="preserve">ULS | Ultimate Limit State | Design | Structural failure check — factored loads</t>
  </si>
  <si>
    <t xml:space="preserve">SLS</t>
  </si>
  <si>
    <t xml:space="preserve">Serviceability Limit State</t>
  </si>
  <si>
    <t xml:space="preserve">Deflection / vibration check — unfactored loads</t>
  </si>
  <si>
    <t xml:space="preserve">SLS | Serviceability Limit State | Design | Deflection / vibration check — unfactored loads</t>
  </si>
  <si>
    <t xml:space="preserve">Platform &amp; Structure Load Calculation + Anchor Bolt Verification</t>
  </si>
  <si>
    <t xml:space="preserve">Methodology per Eurocode (EN 1990/1991) + Fischer anchor design per ETA | Blue cells = user inputs</t>
  </si>
  <si>
    <t xml:space="preserve">A. Load Inputs — Platform / Structure Definition</t>
  </si>
  <si>
    <t xml:space="preserve">Parameter</t>
  </si>
  <si>
    <t xml:space="preserve">Symbol</t>
  </si>
  <si>
    <t xml:space="preserve">Value</t>
  </si>
  <si>
    <t xml:space="preserve">Parameter | Symbol | Value | Unit</t>
  </si>
  <si>
    <t xml:space="preserve">Platform length</t>
  </si>
  <si>
    <t xml:space="preserve">L</t>
  </si>
  <si>
    <t xml:space="preserve">Platform length | L | 6 | m</t>
  </si>
  <si>
    <t xml:space="preserve">Platform width</t>
  </si>
  <si>
    <t xml:space="preserve">W</t>
  </si>
  <si>
    <t xml:space="preserve">Platform width | W | 3 | m</t>
  </si>
  <si>
    <t xml:space="preserve">Platform area</t>
  </si>
  <si>
    <t xml:space="preserve">A</t>
  </si>
  <si>
    <t xml:space="preserve">m²</t>
  </si>
  <si>
    <t xml:space="preserve">Platform area | A | [Formula] | m²</t>
  </si>
  <si>
    <t xml:space="preserve">Number of support points</t>
  </si>
  <si>
    <t xml:space="preserve">n</t>
  </si>
  <si>
    <t xml:space="preserve">nos.</t>
  </si>
  <si>
    <t xml:space="preserve">Number of support points | n | 4 | nos.</t>
  </si>
  <si>
    <t xml:space="preserve">B. Dead Load Calculation (DL) — Self-Weight of Structure</t>
  </si>
  <si>
    <t xml:space="preserve">Component</t>
  </si>
  <si>
    <t xml:space="preserve">Unit Weight
(kN/m² or kN/m)</t>
  </si>
  <si>
    <t xml:space="preserve">Area / Length</t>
  </si>
  <si>
    <t xml:space="preserve">Subtotal
(kN)</t>
  </si>
  <si>
    <t xml:space="preserve">Component | Unit Weight
(kN/m² or kN/m) | Area / Length | Subtotal
(kN)</t>
  </si>
  <si>
    <t xml:space="preserve">Steel grating / checker plate floor</t>
  </si>
  <si>
    <t xml:space="preserve">Steel grating / checker plate floor | 0.5 | [Formula] | [Formula]</t>
  </si>
  <si>
    <t xml:space="preserve">Steel beams (UB/UC frame)</t>
  </si>
  <si>
    <t xml:space="preserve">Steel beams (UB/UC frame) | 0.3 | [Formula] | [Formula]</t>
  </si>
  <si>
    <t xml:space="preserve">Handrails + toe board</t>
  </si>
  <si>
    <t xml:space="preserve">0.15</t>
  </si>
  <si>
    <t xml:space="preserve">Handrails + toe board | 0.15 | [Formula] | [Formula]</t>
  </si>
  <si>
    <t xml:space="preserve">Stairs / ladder (if applicable)</t>
  </si>
  <si>
    <t xml:space="preserve">Stairs / ladder (if applicable) | 0.5 | 1 | [Formula]</t>
  </si>
  <si>
    <t xml:space="preserve">Services / small piping</t>
  </si>
  <si>
    <t xml:space="preserve">0.1</t>
  </si>
  <si>
    <t xml:space="preserve">Services / small piping | 0.1 | [Formula] | [Formula]</t>
  </si>
  <si>
    <t xml:space="preserve">Miscellaneous (bolts, cleats, etc.)</t>
  </si>
  <si>
    <t xml:space="preserve">0.05</t>
  </si>
  <si>
    <t xml:space="preserve">Miscellaneous (bolts, cleats, etc.) | 0.05 | [Formula] | [Formula]</t>
  </si>
  <si>
    <t xml:space="preserve">Total Dead Load (DL)</t>
  </si>
  <si>
    <t xml:space="preserve">Total Dead Load (DL) | [Formula]</t>
  </si>
  <si>
    <t xml:space="preserve">C. Live Load (LL) — Imposed / Occupancy Load</t>
  </si>
  <si>
    <t xml:space="preserve">Load Case</t>
  </si>
  <si>
    <t xml:space="preserve">Intensity
(kN/m²)</t>
  </si>
  <si>
    <t xml:space="preserve">Area
(m²)</t>
  </si>
  <si>
    <t xml:space="preserve">Load Case | Intensity
(kN/m²) | Area
(m²) | Subtotal
(kN)</t>
  </si>
  <si>
    <t xml:space="preserve">General access platform (EN 1991-1-1 Cat. C)</t>
  </si>
  <si>
    <t xml:space="preserve">General access platform (EN 1991-1-1 Cat. C) | 3 | [Formula] | [Formula]</t>
  </si>
  <si>
    <t xml:space="preserve">Industrial platform / maintenance (Cat. E)</t>
  </si>
  <si>
    <t xml:space="preserve">Industrial platform / maintenance (Cat. E) | 5 | [Formula] | [Formula]</t>
  </si>
  <si>
    <t xml:space="preserve">Storage area (heavy, if applicable)</t>
  </si>
  <si>
    <t xml:space="preserve">Storage area (heavy, if applicable) | 7.5 | [Formula] | [Formula]</t>
  </si>
  <si>
    <t xml:space="preserve">Concentrated point load (EN 1991-1-1)</t>
  </si>
  <si>
    <t xml:space="preserve">Concentrated point load (EN 1991-1-1) | 1.5 | 1 | [Formula]</t>
  </si>
  <si>
    <t xml:space="preserve">Note: Use ONE live load case at a time (most onerous). Row highlighted = design case.</t>
  </si>
  <si>
    <t xml:space="preserve">Governing Live Load (LL) — use General Access</t>
  </si>
  <si>
    <t xml:space="preserve">Governing Live Load (LL) — use General Access | [Formula]</t>
  </si>
  <si>
    <t xml:space="preserve">D. Wind Load (WL) — Lateral Force on Structure</t>
  </si>
  <si>
    <t xml:space="preserve">Basic wind speed</t>
  </si>
  <si>
    <t xml:space="preserve">Vb</t>
  </si>
  <si>
    <t xml:space="preserve">m/s</t>
  </si>
  <si>
    <t xml:space="preserve">Basic wind speed | Vb | 22 | m/s</t>
  </si>
  <si>
    <t xml:space="preserve">Air density</t>
  </si>
  <si>
    <t xml:space="preserve">ρ</t>
  </si>
  <si>
    <t xml:space="preserve">kg/m³</t>
  </si>
  <si>
    <t xml:space="preserve">Air density | ρ | 1.25 | kg/m³</t>
  </si>
  <si>
    <t xml:space="preserve">Peak velocity pressure qp = 0.5 × ρ × Vb²</t>
  </si>
  <si>
    <t xml:space="preserve">qp</t>
  </si>
  <si>
    <t xml:space="preserve">kN/m²</t>
  </si>
  <si>
    <t xml:space="preserve">Peak velocity pressure qp = 0.5 × ρ × Vb² | qp | [Formula] | kN/m²</t>
  </si>
  <si>
    <t xml:space="preserve">Pressure coefficient (net)</t>
  </si>
  <si>
    <t xml:space="preserve">cp</t>
  </si>
  <si>
    <t xml:space="preserve">Pressure coefficient (net) | cp | 1.3 | —</t>
  </si>
  <si>
    <t xml:space="preserve">Exposed height of platform</t>
  </si>
  <si>
    <t xml:space="preserve">Hw</t>
  </si>
  <si>
    <t xml:space="preserve">Exposed height of platform | Hw | 1.2 | m</t>
  </si>
  <si>
    <t xml:space="preserve">Exposed length</t>
  </si>
  <si>
    <t xml:space="preserve">Lw</t>
  </si>
  <si>
    <t xml:space="preserve">Exposed length | Lw | [Formula] | m</t>
  </si>
  <si>
    <t xml:space="preserve">Wind force Fw = qp × cp × Hw × Lw</t>
  </si>
  <si>
    <t xml:space="preserve">Fw</t>
  </si>
  <si>
    <t xml:space="preserve">Wind force Fw = qp × cp × Hw × Lw | Fw | [Formula] | kN</t>
  </si>
  <si>
    <t xml:space="preserve">E. ULS Load Combinations (EN 1990 Eq. 6.10a/b)</t>
  </si>
  <si>
    <t xml:space="preserve">Combination</t>
  </si>
  <si>
    <t xml:space="preserve">Formula</t>
  </si>
  <si>
    <t xml:space="preserve">Factored Load
(kN)</t>
  </si>
  <si>
    <t xml:space="preserve">Per Anchor
(kN)</t>
  </si>
  <si>
    <t xml:space="preserve">Combination | Formula | Factored Load
(kN) | Per Anchor
(kN)</t>
  </si>
  <si>
    <t xml:space="preserve">LC1: 1.35DL + 1.5LL</t>
  </si>
  <si>
    <t xml:space="preserve">1.35DL + 1.5LL</t>
  </si>
  <si>
    <t xml:space="preserve">LC1: 1.35DL + 1.5LL | 1.35DL + 1.5LL | [Formula] | [Formula]</t>
  </si>
  <si>
    <t xml:space="preserve">LC2: 1.35DL + 1.5LL + 0.6WL</t>
  </si>
  <si>
    <t xml:space="preserve">1.35DL + 1.5LL + 0.6WL</t>
  </si>
  <si>
    <t xml:space="preserve">LC2: 1.35DL + 1.5LL + 0.6WL | 1.35DL + 1.5LL + 0.6WL | [Formula] | [Formula]</t>
  </si>
  <si>
    <t xml:space="preserve">LC3: 1.35DL + 1.5WL + 0.7LL</t>
  </si>
  <si>
    <t xml:space="preserve">1.35DL + 1.5WL + 0.7LL</t>
  </si>
  <si>
    <t xml:space="preserve">LC3: 1.35DL + 1.5WL + 0.7LL | 1.35DL + 1.5WL + 0.7LL | [Formula] | [Formula]</t>
  </si>
  <si>
    <t xml:space="preserve">LC4: 1.0DL (minimum, for uplift check)</t>
  </si>
  <si>
    <t xml:space="preserve">1.0DL (minimum, for uplift check)</t>
  </si>
  <si>
    <t xml:space="preserve">LC4: 1.0DL (minimum, for uplift check) | 1.0DL (minimum, for uplift check) | [Formula] | [Formula]</t>
  </si>
  <si>
    <t xml:space="preserve">GOVERNING (Max Vertical per Anchor)</t>
  </si>
  <si>
    <t xml:space="preserve">GOVERNING (Max Vertical per Anchor) | [Formula] | [Formula]</t>
  </si>
  <si>
    <t xml:space="preserve">Shear per Anchor (from Wind)</t>
  </si>
  <si>
    <t xml:space="preserve">Shear per Anchor (from Wind) | [Formula] | [Formula]</t>
  </si>
  <si>
    <t xml:space="preserve">F. Fischer Anchor Bolt Verification</t>
  </si>
  <si>
    <t xml:space="preserve">Select anchor and enter its design resistance — utilisation auto-calculates</t>
  </si>
  <si>
    <t xml:space="preserve">Selected anchor type</t>
  </si>
  <si>
    <t xml:space="preserve">FBN II M12 gvz</t>
  </si>
  <si>
    <t xml:space="preserve">Selected anchor type | FBN II M12 gvz | —</t>
  </si>
  <si>
    <t xml:space="preserve">Effective anchorage depth</t>
  </si>
  <si>
    <t xml:space="preserve">Effective anchorage depth | hef | 65 | mm</t>
  </si>
  <si>
    <t xml:space="preserve">Concrete class</t>
  </si>
  <si>
    <t xml:space="preserve">C20/25</t>
  </si>
  <si>
    <t xml:space="preserve">Concrete class | C20/25 | —</t>
  </si>
  <si>
    <t xml:space="preserve">Design tension resistance (from Fischer FBN II sheet)</t>
  </si>
  <si>
    <t xml:space="preserve">Design tension resistance (from Fischer FBN II sheet) | NRd | 17.6 | kN</t>
  </si>
  <si>
    <t xml:space="preserve">Design shear resistance (from Fischer FBN II sheet)</t>
  </si>
  <si>
    <t xml:space="preserve">Design shear resistance (from Fischer FBN II sheet) | VRd | 25 | kN</t>
  </si>
  <si>
    <t xml:space="preserve">Applied tension per anchor (from Section E)</t>
  </si>
  <si>
    <t xml:space="preserve">NEd</t>
  </si>
  <si>
    <t xml:space="preserve">Applied tension per anchor (from Section E) | NEd | [Formula] | kN</t>
  </si>
  <si>
    <t xml:space="preserve">Applied shear per anchor (from Section E)</t>
  </si>
  <si>
    <t xml:space="preserve">VEd</t>
  </si>
  <si>
    <t xml:space="preserve">Applied shear per anchor (from Section E) | VEd | [Formula] | kN</t>
  </si>
  <si>
    <t xml:space="preserve">Tension utilisation βN = NEd / NRd</t>
  </si>
  <si>
    <t xml:space="preserve">βN</t>
  </si>
  <si>
    <t xml:space="preserve">%</t>
  </si>
  <si>
    <t xml:space="preserve">Tension utilisation βN = NEd / NRd | βN | [Formula] | %</t>
  </si>
  <si>
    <t xml:space="preserve">Shear utilisation βV = VEd / VRd</t>
  </si>
  <si>
    <t xml:space="preserve">βV</t>
  </si>
  <si>
    <t xml:space="preserve">Shear utilisation βV = VEd / VRd | βV | [Formula] | %</t>
  </si>
  <si>
    <t xml:space="preserve">Combined check βN + βV ≤ 1.2 (EN method)</t>
  </si>
  <si>
    <t xml:space="preserve">βN+βV</t>
  </si>
  <si>
    <t xml:space="preserve">Combined check βN + βV ≤ 1.2 (EN method) | βN+βV | [Formula] | —</t>
  </si>
  <si>
    <t xml:space="preserve">VERIFICATION RESULT</t>
  </si>
  <si>
    <t xml:space="preserve">VERIFICATION RESULT | [Formula]</t>
  </si>
  <si>
    <t xml:space="preserve">→ Go to Fischer FBN II Reference Sheet</t>
  </si>
  <si>
    <t xml:space="preserve">Source: EN 1990:2002 (load combinations), EN 1991-1-1 (imposed loads), EN 1991-1-4 (wind), Fischer ETA approvals</t>
  </si>
  <si>
    <t xml:space="preserve">Fischer Anchors</t>
  </si>
  <si>
    <t xml:space="preserve">Fischer FBN II — Bolt Anchor (Mechanical Expansion)</t>
  </si>
  <si>
    <t xml:space="preserve">ETA-07/0211 | Non-cracked concrete C20/25–C50/60 | Fire R120 | Working life ≥50 years</t>
  </si>
  <si>
    <t xml:space="preserve">Torque-controlled expansion anchor — drill Ø = thread Ø for push-through installation</t>
  </si>
  <si>
    <t xml:space="preserve">A. Material Options</t>
  </si>
  <si>
    <t xml:space="preserve">Designation</t>
  </si>
  <si>
    <t xml:space="preserve">Corrosion Class</t>
  </si>
  <si>
    <t xml:space="preserve">Typical Use</t>
  </si>
  <si>
    <t xml:space="preserve">Material | Designation | Corrosion Class | Typical Use</t>
  </si>
  <si>
    <t xml:space="preserve">Zinc-plated steel</t>
  </si>
  <si>
    <t xml:space="preserve">FBN II gvz</t>
  </si>
  <si>
    <t xml:space="preserve">CRC I</t>
  </si>
  <si>
    <t xml:space="preserve">Dry internal conditions</t>
  </si>
  <si>
    <t xml:space="preserve">Zinc-plated steel | FBN II gvz | CRC I | Dry internal conditions</t>
  </si>
  <si>
    <t xml:space="preserve">Hot-dip galvanised</t>
  </si>
  <si>
    <t xml:space="preserve">FBN II fvz</t>
  </si>
  <si>
    <t xml:space="preserve">CRC III</t>
  </si>
  <si>
    <t xml:space="preserve">Outdoor / wet (ETA-18/0101)</t>
  </si>
  <si>
    <t xml:space="preserve">Hot-dip galvanised | FBN II fvz | CRC III | Outdoor / wet (ETA-18/0101)</t>
  </si>
  <si>
    <t xml:space="preserve">Stainless steel A4</t>
  </si>
  <si>
    <t xml:space="preserve">FBN II R (1.4401/316)</t>
  </si>
  <si>
    <t xml:space="preserve">External, façades, marine adjacency</t>
  </si>
  <si>
    <t xml:space="preserve">Stainless steel A4 | FBN II R (1.4401/316) | CRC III | External, façades, marine adjacency</t>
  </si>
  <si>
    <t xml:space="preserve">B. Installation Parameters per Thread Size</t>
  </si>
  <si>
    <t xml:space="preserve">Thread</t>
  </si>
  <si>
    <t xml:space="preserve">Drill Ø
d₀ (mm)</t>
  </si>
  <si>
    <t xml:space="preserve">hef Std
(mm)</t>
  </si>
  <si>
    <t xml:space="preserve">hef Red
(mm)</t>
  </si>
  <si>
    <t xml:space="preserve">Drill Depth
h₁ Std (mm)</t>
  </si>
  <si>
    <t xml:space="preserve">Thread | Drill Ø
d₀ (mm) | hef Std
(mm) | hef Red
(mm) | Drill Depth
h₁ Std (mm)</t>
  </si>
  <si>
    <t xml:space="preserve">M6</t>
  </si>
  <si>
    <t xml:space="preserve">M6 | 6 | 30 | — | 40</t>
  </si>
  <si>
    <t xml:space="preserve">M8</t>
  </si>
  <si>
    <t xml:space="preserve">M8 | 8 | 40 | 30 | 46</t>
  </si>
  <si>
    <t xml:space="preserve">M10</t>
  </si>
  <si>
    <t xml:space="preserve">M10 | 10 | 50 | 40 | 58</t>
  </si>
  <si>
    <t xml:space="preserve">M12</t>
  </si>
  <si>
    <t xml:space="preserve">M12 | 12 | 65 | 50 | 85</t>
  </si>
  <si>
    <t xml:space="preserve">M16</t>
  </si>
  <si>
    <t xml:space="preserve">M16 | 16 | 80 | 65 | 104</t>
  </si>
  <si>
    <t xml:space="preserve">M20</t>
  </si>
  <si>
    <t xml:space="preserve">M20 | 20 | 105 | 80 | 135</t>
  </si>
  <si>
    <t xml:space="preserve">C. Design Resistance — Tension (kN) | Non-Cracked C20/25, Single Anchor</t>
  </si>
  <si>
    <t xml:space="preserve">hef
(mm)</t>
  </si>
  <si>
    <t xml:space="preserve">NRd,s gvz
(kN)</t>
  </si>
  <si>
    <t xml:space="preserve">NRd,s A4
(kN)</t>
  </si>
  <si>
    <t xml:space="preserve">N⁰Rd,c
(kN)</t>
  </si>
  <si>
    <t xml:space="preserve">Thread | hef
(mm) | NRd,s gvz
(kN) | NRd,s A4
(kN) | N⁰Rd,c
(kN)</t>
  </si>
  <si>
    <t xml:space="preserve">M6 | 30 | 5.5 | 7.1 | 5.5</t>
  </si>
  <si>
    <t xml:space="preserve">M8 | 30 | 11.8 | 11.8 | 5.5</t>
  </si>
  <si>
    <t xml:space="preserve">M8 | 40 | 11.8 | 11.8 | 8.5</t>
  </si>
  <si>
    <t xml:space="preserve">19.4</t>
  </si>
  <si>
    <t xml:space="preserve">M10 | 40 | 19.4 | 19.4 | 8.5</t>
  </si>
  <si>
    <t xml:space="preserve">M10 | 50 | 19.4 | 19.4 | 11.9</t>
  </si>
  <si>
    <t xml:space="preserve">29.7</t>
  </si>
  <si>
    <t xml:space="preserve">M12 | 50 | 29.7 | 29.7 | 11.9</t>
  </si>
  <si>
    <t xml:space="preserve">M12 | 65 | 29.7 | 29.7 | 17.6</t>
  </si>
  <si>
    <t xml:space="preserve">51.9</t>
  </si>
  <si>
    <t xml:space="preserve">55.7</t>
  </si>
  <si>
    <t xml:space="preserve">M16 | 65 | 51.9 | 55.7 | 17.6</t>
  </si>
  <si>
    <t xml:space="preserve">M16 | 80 | 51.9 | 55.7 | 24.1</t>
  </si>
  <si>
    <t xml:space="preserve">71.3</t>
  </si>
  <si>
    <t xml:space="preserve">74</t>
  </si>
  <si>
    <t xml:space="preserve">M20 | 80 | 71.3 | 74 | 24.1</t>
  </si>
  <si>
    <t xml:space="preserve">M20 | 105 | 71.3 | 74 | 36.2</t>
  </si>
  <si>
    <t xml:space="preserve">D. Design Resistance — Shear (kN) | Non-Cracked C20/25</t>
  </si>
  <si>
    <t xml:space="preserve">VRd,s gvz
(kN)</t>
  </si>
  <si>
    <t xml:space="preserve">VRd,s fvz
(kN)</t>
  </si>
  <si>
    <t xml:space="preserve">VRd,s A4
(kN)</t>
  </si>
  <si>
    <t xml:space="preserve">Vperm gvz
(kN)</t>
  </si>
  <si>
    <t xml:space="preserve">Thread | VRd,s gvz
(kN) | VRd,s fvz
(kN) | VRd,s A4
(kN) | Vperm gvz
(kN)</t>
  </si>
  <si>
    <t xml:space="preserve">3.4</t>
  </si>
  <si>
    <t xml:space="preserve">M6 | 4.8 | — | 4.2 | 3.4</t>
  </si>
  <si>
    <t xml:space="preserve">M8 | 10.6 | 10.6 | 10.2 | 7.1</t>
  </si>
  <si>
    <t xml:space="preserve">7.6</t>
  </si>
  <si>
    <t xml:space="preserve">M10 | 16.8 | 16.8 | 16.2 | 7.6</t>
  </si>
  <si>
    <t xml:space="preserve">M12 | 25 | 25 | 21.9 | 17.9</t>
  </si>
  <si>
    <t xml:space="preserve">40.8</t>
  </si>
  <si>
    <t xml:space="preserve">31.5</t>
  </si>
  <si>
    <t xml:space="preserve">M16 | 44.1 | 44.1 | 40.8 | 31.5</t>
  </si>
  <si>
    <t xml:space="preserve">53.6</t>
  </si>
  <si>
    <t xml:space="preserve">68.8</t>
  </si>
  <si>
    <t xml:space="preserve">38.3</t>
  </si>
  <si>
    <t xml:space="preserve">M20 | 53.6 | 53.6 | 68.8 | 38.3</t>
  </si>
  <si>
    <t xml:space="preserve">E. Minimum Concrete Thickness, Spacing &amp; Edge Distances</t>
  </si>
  <si>
    <t xml:space="preserve">hmin
(mm)</t>
  </si>
  <si>
    <t xml:space="preserve">scr,N
(mm)</t>
  </si>
  <si>
    <t xml:space="preserve">ccr,N
(mm)</t>
  </si>
  <si>
    <t xml:space="preserve">Thread | hef
(mm) | hmin
(mm) | scr,N
(mm) | ccr,N
(mm)</t>
  </si>
  <si>
    <t xml:space="preserve">M6 | 30 | 100 | 90 | 45</t>
  </si>
  <si>
    <t xml:space="preserve">M8 | 40 | 100 | 120 | 60</t>
  </si>
  <si>
    <t xml:space="preserve">M10 | 50 | 100 | 150 | 75</t>
  </si>
  <si>
    <t xml:space="preserve">98</t>
  </si>
  <si>
    <t xml:space="preserve">M12 | 65 | 120 | 195 | 98</t>
  </si>
  <si>
    <t xml:space="preserve">M16 | 80 | 160 | 240 | 120</t>
  </si>
  <si>
    <t xml:space="preserve">M20 | 105 | 200 | 315 | 158</t>
  </si>
  <si>
    <t xml:space="preserve">F. Available Anchor Lengths (tfix = max fixture thickness at standard hef)</t>
  </si>
  <si>
    <t xml:space="preserve">hef Std/Red
(mm)</t>
  </si>
  <si>
    <t xml:space="preserve">Anchor Length
l (mm)</t>
  </si>
  <si>
    <t xml:space="preserve">tfix at hef,std
(mm)</t>
  </si>
  <si>
    <t xml:space="preserve">Designation | Thread | hef Std/Red
(mm) | Anchor Length
l (mm) | tfix at hef,std
(mm)</t>
  </si>
  <si>
    <t xml:space="preserve">FBN II 8/5</t>
  </si>
  <si>
    <t xml:space="preserve">40/30</t>
  </si>
  <si>
    <t xml:space="preserve">FBN II 8/5 | M8 | 40/30 | 66 | 5</t>
  </si>
  <si>
    <t xml:space="preserve">FBN II 8/10</t>
  </si>
  <si>
    <t xml:space="preserve">FBN II 8/10 | M8 | 40/30 | 71 | 10</t>
  </si>
  <si>
    <t xml:space="preserve">FBN II 8/20</t>
  </si>
  <si>
    <t xml:space="preserve">FBN II 8/20 | M8 | 40/30 | 81 | 20</t>
  </si>
  <si>
    <t xml:space="preserve">FBN II 8/50</t>
  </si>
  <si>
    <t xml:space="preserve">111</t>
  </si>
  <si>
    <t xml:space="preserve">FBN II 8/50 | M8 | 40/30 | 111 | 50</t>
  </si>
  <si>
    <t xml:space="preserve">FBN II 8/100</t>
  </si>
  <si>
    <t xml:space="preserve">161</t>
  </si>
  <si>
    <t xml:space="preserve">FBN II 8/100 | M8 | 40/30 | 161 | 100</t>
  </si>
  <si>
    <t xml:space="preserve">FBN II 10/10</t>
  </si>
  <si>
    <t xml:space="preserve">50/40</t>
  </si>
  <si>
    <t xml:space="preserve">86</t>
  </si>
  <si>
    <t xml:space="preserve">FBN II 10/10 | M10 | 50/40 | 86 | 10</t>
  </si>
  <si>
    <t xml:space="preserve">FBN II 10/30</t>
  </si>
  <si>
    <t xml:space="preserve">FBN II 10/30 | M10 | 50/40 | 106 | 30</t>
  </si>
  <si>
    <t xml:space="preserve">FBN II 10/50</t>
  </si>
  <si>
    <t xml:space="preserve">126</t>
  </si>
  <si>
    <t xml:space="preserve">FBN II 10/50 | M10 | 50/40 | 126 | 50</t>
  </si>
  <si>
    <t xml:space="preserve">FBN II 10/100</t>
  </si>
  <si>
    <t xml:space="preserve">176</t>
  </si>
  <si>
    <t xml:space="preserve">FBN II 10/100 | M10 | 50/40 | 176 | 100</t>
  </si>
  <si>
    <t xml:space="preserve">FBN II 12/10</t>
  </si>
  <si>
    <t xml:space="preserve">65/50</t>
  </si>
  <si>
    <t xml:space="preserve">FBN II 12/10 | M12 | 65/50 | 106 | 10</t>
  </si>
  <si>
    <t xml:space="preserve">FBN II 12/30</t>
  </si>
  <si>
    <t xml:space="preserve">FBN II 12/30 | M12 | 65/50 | 126 | 30</t>
  </si>
  <si>
    <t xml:space="preserve">FBN II 12/50</t>
  </si>
  <si>
    <t xml:space="preserve">146</t>
  </si>
  <si>
    <t xml:space="preserve">FBN II 12/50 | M12 | 65/50 | 146 | 50</t>
  </si>
  <si>
    <t xml:space="preserve">FBN II 12/100</t>
  </si>
  <si>
    <t xml:space="preserve">196</t>
  </si>
  <si>
    <t xml:space="preserve">FBN II 12/100 | M12 | 65/50 | 196 | 100</t>
  </si>
  <si>
    <t xml:space="preserve">FBN II 16/25</t>
  </si>
  <si>
    <t xml:space="preserve">80/65</t>
  </si>
  <si>
    <t xml:space="preserve">FBN II 16/25 | M16 | 80/65 | 145 | 25</t>
  </si>
  <si>
    <t xml:space="preserve">FBN II 16/50</t>
  </si>
  <si>
    <t xml:space="preserve">FBN II 16/50 | M16 | 80/65 | 170 | 50</t>
  </si>
  <si>
    <t xml:space="preserve">FBN II 16/100</t>
  </si>
  <si>
    <t xml:space="preserve">FBN II 16/100 | M16 | 80/65 | 220 | 100</t>
  </si>
  <si>
    <t xml:space="preserve">FBN II 16/200</t>
  </si>
  <si>
    <t xml:space="preserve">320</t>
  </si>
  <si>
    <t xml:space="preserve">FBN II 16/200 | M16 | 80/65 | 320 | 200</t>
  </si>
  <si>
    <t xml:space="preserve">FBN II 20/30</t>
  </si>
  <si>
    <t xml:space="preserve">105/80</t>
  </si>
  <si>
    <t xml:space="preserve">184</t>
  </si>
  <si>
    <t xml:space="preserve">FBN II 20/30 | M20 | 105/80 | 184 | 30</t>
  </si>
  <si>
    <t xml:space="preserve">FBN II 20/60</t>
  </si>
  <si>
    <t xml:space="preserve">214</t>
  </si>
  <si>
    <t xml:space="preserve">FBN II 20/60 | M20 | 105/80 | 214 | 60</t>
  </si>
  <si>
    <t xml:space="preserve">FBN II 20/120</t>
  </si>
  <si>
    <t xml:space="preserve">274</t>
  </si>
  <si>
    <t xml:space="preserve">FBN II 20/120 | M20 | 105/80 | 274 | 120</t>
  </si>
  <si>
    <t xml:space="preserve">G. Installation Procedure</t>
  </si>
  <si>
    <t xml:space="preserve">1. Drill hole through fixture — drill Ø = thread Ø (push-through installation)</t>
  </si>
  <si>
    <t xml:space="preserve">2. Clean hole — blow out with compressed air or brush</t>
  </si>
  <si>
    <t xml:space="preserve">3. Position nut so drive-in pin projects ~3 mm out of the nut</t>
  </si>
  <si>
    <t xml:space="preserve">4. Hammer FBN II through fixture into the hole</t>
  </si>
  <si>
    <t xml:space="preserve">5. Apply installation torque (Tinst) with torque wrench</t>
  </si>
  <si>
    <t xml:space="preserve">6. Head embossing provides visual confirmation of correct setting</t>
  </si>
  <si>
    <t xml:space="preserve">Source: ETA-07/0211, Fischer Technical Handbook, fischer-international.com</t>
  </si>
  <si>
    <t xml:space="preserve">Fischer FAZ II / FAZ II Plus — High-Performance Through-Bolt Anchor</t>
  </si>
  <si>
    <t xml:space="preserve">ETA-05/0069 (FAZ II) | ETA-19/0520 (FAZ II Plus) | Cracked + Non-Cracked Concrete | Seismic C1/C2 | Fire R120</t>
  </si>
  <si>
    <t xml:space="preserve">Option 1 approval — suitable for cracked concrete, seismic zones, and fire-rated applications</t>
  </si>
  <si>
    <t xml:space="preserve">FAZ II gvz (4.8)</t>
  </si>
  <si>
    <t xml:space="preserve">Zinc-plated steel | FAZ II gvz (4.8) | CRC I | Dry internal conditions</t>
  </si>
  <si>
    <t xml:space="preserve">FAZ II fvz</t>
  </si>
  <si>
    <t xml:space="preserve">Outdoor / wet conditions</t>
  </si>
  <si>
    <t xml:space="preserve">Hot-dip galvanised | FAZ II fvz | CRC III | Outdoor / wet conditions</t>
  </si>
  <si>
    <t xml:space="preserve">Stainless A4</t>
  </si>
  <si>
    <t xml:space="preserve">FAZ II R (1.4401/316)</t>
  </si>
  <si>
    <t xml:space="preserve">External, coastal, tunnels</t>
  </si>
  <si>
    <t xml:space="preserve">Stainless A4 | FAZ II R (1.4401/316) | CRC III | External, coastal, tunnels</t>
  </si>
  <si>
    <t xml:space="preserve">High Corrosion Resist.</t>
  </si>
  <si>
    <t xml:space="preserve">FAZ II HCR (1.4529)</t>
  </si>
  <si>
    <t xml:space="preserve">CRC V</t>
  </si>
  <si>
    <t xml:space="preserve">Highly aggressive chemical/marine</t>
  </si>
  <si>
    <t xml:space="preserve">High Corrosion Resist. | FAZ II HCR (1.4529) | CRC V | Highly aggressive chemical/marine</t>
  </si>
  <si>
    <t xml:space="preserve">B. Installation Parameters per Thread Size (FAZ II Plus)</t>
  </si>
  <si>
    <t xml:space="preserve">hef Min
(mm)</t>
  </si>
  <si>
    <t xml:space="preserve">hef Max
(mm)</t>
  </si>
  <si>
    <t xml:space="preserve">Thread | Drill Ø
d₀ (mm) | hef Min
(mm) | hef Max
(mm) | hmin
(mm)</t>
  </si>
  <si>
    <t xml:space="preserve">M6 | 6 | 25 | 45 | 80</t>
  </si>
  <si>
    <t xml:space="preserve">M8 | 8 | 35 | 90 | 100</t>
  </si>
  <si>
    <t xml:space="preserve">M10 | 10 | 40 | 100 | 100</t>
  </si>
  <si>
    <t xml:space="preserve">M12 | 12 | 50 | 125 | 110</t>
  </si>
  <si>
    <t xml:space="preserve">M16 | 16 | 65 | 160 | 140</t>
  </si>
  <si>
    <t xml:space="preserve">M20 | 20 | 85 | 200 | 180</t>
  </si>
  <si>
    <t xml:space="preserve">M24</t>
  </si>
  <si>
    <t xml:space="preserve">115</t>
  </si>
  <si>
    <t xml:space="preserve">M24 | 24 | 115 | 200 | 220</t>
  </si>
  <si>
    <t xml:space="preserve">C. Design Resistance — Tension (kN) | Non-Cracked C20/25</t>
  </si>
  <si>
    <t xml:space="preserve">M8 | 35 | 10.7 | 18 | 6.2</t>
  </si>
  <si>
    <t xml:space="preserve">M8 | 55 | 10.7 | 18 | 13</t>
  </si>
  <si>
    <t xml:space="preserve">M10 | 40 | 18 | 27.7 | 8.5</t>
  </si>
  <si>
    <t xml:space="preserve">M10 | 65 | 18 | 27.7 | 16.8</t>
  </si>
  <si>
    <t xml:space="preserve">M12 | 50 | 27.7 | 44 | 11.9</t>
  </si>
  <si>
    <t xml:space="preserve">M12 | 75 | 27.7 | 44 | 21.3</t>
  </si>
  <si>
    <t xml:space="preserve">M16 | 65 | 44 | 74 | 17.6</t>
  </si>
  <si>
    <t xml:space="preserve">M16 | 80 | 44 | 74 | 24.1</t>
  </si>
  <si>
    <t xml:space="preserve">M20 | 95 | 74 | 100 | 31.1</t>
  </si>
  <si>
    <t xml:space="preserve">M24 | 115 | 126 | 126 | 42</t>
  </si>
  <si>
    <t xml:space="preserve">D. Design Resistance — Tension (kN) | CRACKED C20/25</t>
  </si>
  <si>
    <t xml:space="preserve">3.9</t>
  </si>
  <si>
    <t xml:space="preserve">M8 | 35 | 10.7 | 18 | 3.9</t>
  </si>
  <si>
    <t xml:space="preserve">8.1</t>
  </si>
  <si>
    <t xml:space="preserve">M8 | 55 | 10.7 | 18 | 8.1</t>
  </si>
  <si>
    <t xml:space="preserve">M10 | 40 | 18 | 27.7 | 5.3</t>
  </si>
  <si>
    <t xml:space="preserve">M10 | 65 | 18 | 27.7 | 10.5</t>
  </si>
  <si>
    <t xml:space="preserve">M12 | 50 | 27.7 | 44 | 7.4</t>
  </si>
  <si>
    <t xml:space="preserve">M12 | 75 | 27.7 | 44 | 13.3</t>
  </si>
  <si>
    <t xml:space="preserve">M16 | 65 | 44 | 74 | 11</t>
  </si>
  <si>
    <t xml:space="preserve">M16 | 80 | 44 | 74 | 15.1</t>
  </si>
  <si>
    <t xml:space="preserve">M20 | 95 | 74 | 100 | 19.4</t>
  </si>
  <si>
    <t xml:space="preserve">M24 | 115 | 126 | 126 | 26.3</t>
  </si>
  <si>
    <t xml:space="preserve">E. Design Resistance — Shear (kN)</t>
  </si>
  <si>
    <t xml:space="preserve">Vperm A4
(kN)</t>
  </si>
  <si>
    <t xml:space="preserve">Thread | VRd,s gvz
(kN) | VRd,s A4
(kN) | Vperm gvz
(kN) | Vperm A4
(kN)</t>
  </si>
  <si>
    <t xml:space="preserve">M6 | 5 | 4.2 | 3.6 | 3</t>
  </si>
  <si>
    <t xml:space="preserve">M8 | 11.5 | 10.2 | 8.2 | 7.3</t>
  </si>
  <si>
    <t xml:space="preserve">M10 | 18.3 | 15.7 | 13 | 11.2</t>
  </si>
  <si>
    <t xml:space="preserve">23.4</t>
  </si>
  <si>
    <t xml:space="preserve">M12 | 27 | 23.4 | 19 | 16.4</t>
  </si>
  <si>
    <t xml:space="preserve">M16 | 48.5 | 42.5 | 34 | 29</t>
  </si>
  <si>
    <t xml:space="preserve">52</t>
  </si>
  <si>
    <t xml:space="preserve">M20 | 76 | 67 | 52 | 46</t>
  </si>
  <si>
    <t xml:space="preserve">M24 | 110 | 100 | 74 | 68</t>
  </si>
  <si>
    <t xml:space="preserve">F. Seismic Performance (per EOTA TR 045 / EN 1992-4)</t>
  </si>
  <si>
    <t xml:space="preserve">Seismic
Category</t>
  </si>
  <si>
    <t xml:space="preserve">NRd,s eq
gvz (kN)</t>
  </si>
  <si>
    <t xml:space="preserve">NRd,s eq
A4 (kN)</t>
  </si>
  <si>
    <t xml:space="preserve">VRd,s eq
gvz (kN)</t>
  </si>
  <si>
    <t xml:space="preserve">Thread | Seismic
Category | NRd,s eq
gvz (kN) | NRd,s eq
A4 (kN) | VRd,s eq
gvz (kN)</t>
  </si>
  <si>
    <t xml:space="preserve">C1</t>
  </si>
  <si>
    <t xml:space="preserve">7.7</t>
  </si>
  <si>
    <t xml:space="preserve">M8 | C1 | 7.1 | 12 | 7.7</t>
  </si>
  <si>
    <t xml:space="preserve">C1/C2</t>
  </si>
  <si>
    <t xml:space="preserve">18.5</t>
  </si>
  <si>
    <t xml:space="preserve">M10 | C1/C2 | 12 | 18.5 | 12.2</t>
  </si>
  <si>
    <t xml:space="preserve">M12 | C1/C2 | 18.5 | 29.3 | 18</t>
  </si>
  <si>
    <t xml:space="preserve">49.3</t>
  </si>
  <si>
    <t xml:space="preserve">32.3</t>
  </si>
  <si>
    <t xml:space="preserve">M16 | C1/C2 | 29.3 | 49.3 | 32.3</t>
  </si>
  <si>
    <t xml:space="preserve">66.7</t>
  </si>
  <si>
    <t xml:space="preserve">50.7</t>
  </si>
  <si>
    <t xml:space="preserve">M20 | C1/C2 | 49.3 | 66.7 | 50.7</t>
  </si>
  <si>
    <t xml:space="preserve">84</t>
  </si>
  <si>
    <t xml:space="preserve">73.3</t>
  </si>
  <si>
    <t xml:space="preserve">M24 | C1 | 84 | 84 | 73.3</t>
  </si>
  <si>
    <t xml:space="preserve">G. Fire Resistance (R30 to R120)</t>
  </si>
  <si>
    <t xml:space="preserve">NRd,fi R30
(kN)</t>
  </si>
  <si>
    <t xml:space="preserve">NRd,fi R60
(kN)</t>
  </si>
  <si>
    <t xml:space="preserve">NRd,fi R90
(kN)</t>
  </si>
  <si>
    <t xml:space="preserve">Thread | hef
(mm) | NRd,fi R30
(kN) | NRd,fi R60
(kN) | NRd,fi R90
(kN)</t>
  </si>
  <si>
    <t xml:space="preserve">M8 | 55 | 8 | 6.5 | 5.5</t>
  </si>
  <si>
    <t xml:space="preserve">M10 | 65 | 13 | 10.5 | 9</t>
  </si>
  <si>
    <t xml:space="preserve">M12 | 75 | 18 | 14.5 | 12.5</t>
  </si>
  <si>
    <t xml:space="preserve">M16 | 80 | 20 | 16 | 13.8</t>
  </si>
  <si>
    <t xml:space="preserve">M20 | 95 | 27 | 22 | 18.8</t>
  </si>
  <si>
    <t xml:space="preserve">37</t>
  </si>
  <si>
    <t xml:space="preserve">M24 | 115 | 37 | 30 | 25.5</t>
  </si>
  <si>
    <t xml:space="preserve">Source: ETA-05/0069, ETA-19/0520, Fischer Expert Guide Asia 07/2022, ICC-ES ESR-2948</t>
  </si>
  <si>
    <t xml:space="preserve">Fischer FIS V / FIS VL — Injection Mortar (Chemical Anchor System)</t>
  </si>
  <si>
    <t xml:space="preserve">ETA-02/0024 (concrete) | ETA-10/0383 (masonry) | ETA-08/0266 (rebar) | Cracked + Non-Cracked</t>
  </si>
  <si>
    <t xml:space="preserve">Vinyl ester injection mortar with threaded rod — highest versatility across all base materials</t>
  </si>
  <si>
    <t xml:space="preserve">A. System Components &amp; Cartridge Sizes</t>
  </si>
  <si>
    <t xml:space="preserve">Product</t>
  </si>
  <si>
    <t xml:space="preserve">Volume</t>
  </si>
  <si>
    <t xml:space="preserve">Cartridge Type</t>
  </si>
  <si>
    <t xml:space="preserve">Application</t>
  </si>
  <si>
    <t xml:space="preserve">Product | Volume | Cartridge Type | Application</t>
  </si>
  <si>
    <t xml:space="preserve">FIS V 150 C</t>
  </si>
  <si>
    <t xml:space="preserve">150 ml</t>
  </si>
  <si>
    <t xml:space="preserve">Coaxial</t>
  </si>
  <si>
    <t xml:space="preserve">Small jobs, 1-2 anchors</t>
  </si>
  <si>
    <t xml:space="preserve">FIS V 150 C | 150 ml | Coaxial | Small jobs, 1-2 anchors</t>
  </si>
  <si>
    <t xml:space="preserve">FIS V 300 T</t>
  </si>
  <si>
    <t xml:space="preserve">300 ml</t>
  </si>
  <si>
    <t xml:space="preserve">Side-by-side</t>
  </si>
  <si>
    <t xml:space="preserve">Standard projects</t>
  </si>
  <si>
    <t xml:space="preserve">FIS V 300 T | 300 ml | Side-by-side | Standard projects</t>
  </si>
  <si>
    <t xml:space="preserve">FIS V 360 S</t>
  </si>
  <si>
    <t xml:space="preserve">360 ml</t>
  </si>
  <si>
    <t xml:space="preserve">Standard projects, most common</t>
  </si>
  <si>
    <t xml:space="preserve">FIS V 360 S | 360 ml | Side-by-side | Standard projects, most common</t>
  </si>
  <si>
    <t xml:space="preserve">FIS V 380 C</t>
  </si>
  <si>
    <t xml:space="preserve">380 ml</t>
  </si>
  <si>
    <t xml:space="preserve">Large projects</t>
  </si>
  <si>
    <t xml:space="preserve">FIS V 380 C | 380 ml | Coaxial | Large projects</t>
  </si>
  <si>
    <t xml:space="preserve">FIS V 410 C</t>
  </si>
  <si>
    <t xml:space="preserve">410 ml</t>
  </si>
  <si>
    <t xml:space="preserve">High-volume installations</t>
  </si>
  <si>
    <t xml:space="preserve">FIS V 410 C | 410 ml | Coaxial | High-volume installations</t>
  </si>
  <si>
    <t xml:space="preserve">FIS VL 300 T</t>
  </si>
  <si>
    <t xml:space="preserve">Larger rods M20–M30 / deep holes</t>
  </si>
  <si>
    <t xml:space="preserve">FIS VL 300 T | 300 ml | Side-by-side | Larger rods M20–M30 / deep holes</t>
  </si>
  <si>
    <t xml:space="preserve">FIS VL 410 C</t>
  </si>
  <si>
    <t xml:space="preserve">FIS VL 410 C | 410 ml | Coaxial | Larger rods M20–M30 / deep holes</t>
  </si>
  <si>
    <t xml:space="preserve">B. Threaded Rod Options (FIS A)</t>
  </si>
  <si>
    <t xml:space="preserve">Rod Size</t>
  </si>
  <si>
    <t xml:space="preserve">Grade
5.8 gvz</t>
  </si>
  <si>
    <t xml:space="preserve">Grade
8.8 gvz</t>
  </si>
  <si>
    <t xml:space="preserve">Grade
10.9 gvz</t>
  </si>
  <si>
    <t xml:space="preserve">A4-70
Stainless</t>
  </si>
  <si>
    <t xml:space="preserve">Rod Size | Grade
5.8 gvz | Grade
8.8 gvz | Grade
10.9 gvz | A4-70
Stainless</t>
  </si>
  <si>
    <t xml:space="preserve">M8 | ✓ | ✓ | — | ✓</t>
  </si>
  <si>
    <t xml:space="preserve">M10 | ✓ | ✓ | — | ✓</t>
  </si>
  <si>
    <t xml:space="preserve">M12 | ✓ | ✓ | ✓ | ✓</t>
  </si>
  <si>
    <t xml:space="preserve">M16 | ✓ | ✓ | ✓ | ✓</t>
  </si>
  <si>
    <t xml:space="preserve">M20 | ✓ | ✓ | ✓ | ✓</t>
  </si>
  <si>
    <t xml:space="preserve">M24 | ✓ | ✓ | ✓ | ✓</t>
  </si>
  <si>
    <t xml:space="preserve">M27</t>
  </si>
  <si>
    <t xml:space="preserve">M27 | — | ✓ | ✓ | ✓</t>
  </si>
  <si>
    <t xml:space="preserve">M30</t>
  </si>
  <si>
    <t xml:space="preserve">M30 | — | ✓ | ✓ | ✓</t>
  </si>
  <si>
    <t xml:space="preserve">C. Cure Times (minutes to load)</t>
  </si>
  <si>
    <t xml:space="preserve">+5°C</t>
  </si>
  <si>
    <t xml:space="preserve">+10°C</t>
  </si>
  <si>
    <t xml:space="preserve">+20°C</t>
  </si>
  <si>
    <t xml:space="preserve">+30°C</t>
  </si>
  <si>
    <t xml:space="preserve">Product | +5°C | +10°C | +20°C | +30°C</t>
  </si>
  <si>
    <t xml:space="preserve">FIS V (standard)</t>
  </si>
  <si>
    <t xml:space="preserve">FIS V (standard) | 90 | 60 | 45 | 35</t>
  </si>
  <si>
    <t xml:space="preserve">FIS V Plus</t>
  </si>
  <si>
    <t xml:space="preserve">FIS V Plus | 60 | 45 | 30 | 25</t>
  </si>
  <si>
    <t xml:space="preserve">FIS VW (winter)</t>
  </si>
  <si>
    <t xml:space="preserve">FIS VW (winter) | 120 | 90 | 60 | —</t>
  </si>
  <si>
    <t xml:space="preserve">FIS V HighSpeed</t>
  </si>
  <si>
    <t xml:space="preserve">FIS V HighSpeed | 45 | 30 | 20 | 15</t>
  </si>
  <si>
    <t xml:space="preserve">D. Design Resistance — Tension (kN) | Non-Cracked C20/25</t>
  </si>
  <si>
    <t xml:space="preserve">Rod</t>
  </si>
  <si>
    <t xml:space="preserve">NRd,s 5.8
(kN)</t>
  </si>
  <si>
    <t xml:space="preserve">NRd,s 8.8
(kN)</t>
  </si>
  <si>
    <t xml:space="preserve">Rod | hef
(mm) | NRd,s 5.8
(kN) | NRd,s 8.8
(kN) | NRd,s A4
(kN)</t>
  </si>
  <si>
    <t xml:space="preserve">M8 | 60 | 11.8 | 16.8 | 14.2</t>
  </si>
  <si>
    <t xml:space="preserve">M8 | 80 | 11.8 | 16.8 | 14.2</t>
  </si>
  <si>
    <t xml:space="preserve">M10 | 80 | 18.4 | 26 | 22</t>
  </si>
  <si>
    <t xml:space="preserve">M10 | 100 | 18.4 | 26 | 22</t>
  </si>
  <si>
    <t xml:space="preserve">28.5</t>
  </si>
  <si>
    <t xml:space="preserve">40.3</t>
  </si>
  <si>
    <t xml:space="preserve">M12 | 100 | 28.5 | 40.3 | 32</t>
  </si>
  <si>
    <t xml:space="preserve">M12 | 130 | 28.5 | 40.3 | 32</t>
  </si>
  <si>
    <t xml:space="preserve">62.3</t>
  </si>
  <si>
    <t xml:space="preserve">M16 | 125 | 44 | 62.3 | 55.7</t>
  </si>
  <si>
    <t xml:space="preserve">M16 | 160 | 44 | 62.3 | 55.7</t>
  </si>
  <si>
    <t xml:space="preserve">155</t>
  </si>
  <si>
    <t xml:space="preserve">59</t>
  </si>
  <si>
    <t xml:space="preserve">83.5</t>
  </si>
  <si>
    <t xml:space="preserve">M20 | 155 | 59 | 83.5 | 74</t>
  </si>
  <si>
    <t xml:space="preserve">M20 | 200 | 59 | 83.5 | 74</t>
  </si>
  <si>
    <t xml:space="preserve">M24 | 190 | 85 | 120 | 106</t>
  </si>
  <si>
    <t xml:space="preserve">M24 | 250 | 85 | 120 | 106</t>
  </si>
  <si>
    <t xml:space="preserve">VRd,s 5.8
(kN)</t>
  </si>
  <si>
    <t xml:space="preserve">VRd,s 8.8
(kN)</t>
  </si>
  <si>
    <t xml:space="preserve">VRd,s 10.9
(kN)</t>
  </si>
  <si>
    <t xml:space="preserve">Rod | VRd,s 5.8
(kN) | VRd,s 8.8
(kN) | VRd,s A4
(kN) | VRd,s 10.9
(kN)</t>
  </si>
  <si>
    <t xml:space="preserve">M8 | 8.2 | 11.7 | 10 | —</t>
  </si>
  <si>
    <t xml:space="preserve">15.8</t>
  </si>
  <si>
    <t xml:space="preserve">M10 | 12.8 | 18.1 | 15.8 | —</t>
  </si>
  <si>
    <t xml:space="preserve">22.5</t>
  </si>
  <si>
    <t xml:space="preserve">M12 | 20 | 28.3 | 22.5 | 34</t>
  </si>
  <si>
    <t xml:space="preserve">M16 | 34 | 48.2 | 42.5 | 58</t>
  </si>
  <si>
    <t xml:space="preserve">77.8</t>
  </si>
  <si>
    <t xml:space="preserve">94</t>
  </si>
  <si>
    <t xml:space="preserve">M20 | 55 | 77.8 | 68.8 | 94</t>
  </si>
  <si>
    <t xml:space="preserve">113.3</t>
  </si>
  <si>
    <t xml:space="preserve">136</t>
  </si>
  <si>
    <t xml:space="preserve">M24 | 80 | 113.3 | 100 | 136</t>
  </si>
  <si>
    <t xml:space="preserve">F. Approved Base Materials</t>
  </si>
  <si>
    <t xml:space="preserve">Base Material</t>
  </si>
  <si>
    <t xml:space="preserve">Base Material | Approval | ETA | Notes</t>
  </si>
  <si>
    <t xml:space="preserve">Concrete C20/25–C50/60</t>
  </si>
  <si>
    <t xml:space="preserve">Cracked + Non-cracked</t>
  </si>
  <si>
    <t xml:space="preserve">ETA-02/0024</t>
  </si>
  <si>
    <t xml:space="preserve">Primary application</t>
  </si>
  <si>
    <t xml:space="preserve">Concrete C20/25–C50/60 | Cracked + Non-cracked | ETA-02/0024 | Primary application</t>
  </si>
  <si>
    <t xml:space="preserve">Solid brick (fb ≥ 5 N/mm²)</t>
  </si>
  <si>
    <t xml:space="preserve">Approved</t>
  </si>
  <si>
    <t xml:space="preserve">ETA-10/0383</t>
  </si>
  <si>
    <t xml:space="preserve">Full design data available</t>
  </si>
  <si>
    <t xml:space="preserve">Solid brick (fb ≥ 5 N/mm²) | Approved | ETA-10/0383 | Full design data available</t>
  </si>
  <si>
    <t xml:space="preserve">Hollow / perforated brick</t>
  </si>
  <si>
    <t xml:space="preserve">Use FIS V with injection screen</t>
  </si>
  <si>
    <t xml:space="preserve">Hollow / perforated brick | Approved | ETA-10/0383 | Use FIS V with injection screen</t>
  </si>
  <si>
    <t xml:space="preserve">Aerated concrete</t>
  </si>
  <si>
    <t xml:space="preserve">Reduced loads, screen recommended</t>
  </si>
  <si>
    <t xml:space="preserve">Aerated concrete | Approved | ETA-10/0383 | Reduced loads, screen recommended</t>
  </si>
  <si>
    <t xml:space="preserve">Natural stone (dense)</t>
  </si>
  <si>
    <t xml:space="preserve">Suitable</t>
  </si>
  <si>
    <t xml:space="preserve">On-site testing recommended</t>
  </si>
  <si>
    <t xml:space="preserve">Natural stone (dense) | Suitable | — | On-site testing recommended</t>
  </si>
  <si>
    <t xml:space="preserve">Rebar connections</t>
  </si>
  <si>
    <t xml:space="preserve">ETA-08/0266</t>
  </si>
  <si>
    <t xml:space="preserve">Post-installed rebar per EN 1992-4</t>
  </si>
  <si>
    <t xml:space="preserve">Rebar connections | Approved | ETA-08/0266 | Post-installed rebar per EN 1992-4</t>
  </si>
  <si>
    <t xml:space="preserve">1. Drill hole to correct diameter and depth (see rod size table above)</t>
  </si>
  <si>
    <t xml:space="preserve">2. Clean hole thoroughly — 4× blow, 4× brush, 4× blow (compressed air + steel brush)</t>
  </si>
  <si>
    <t xml:space="preserve">3. Inject resin from bottom of hole, filling from back to front (avoid air pockets)</t>
  </si>
  <si>
    <t xml:space="preserve">4. Insert threaded rod with slow turning motion</t>
  </si>
  <si>
    <t xml:space="preserve">5. Do NOT disturb during cure time (see cure time table for ambient temperature)</t>
  </si>
  <si>
    <t xml:space="preserve">6. After curing, tighten nut to recommended torque and apply load</t>
  </si>
  <si>
    <t xml:space="preserve">Source: ETA-02/0024, ETA-10/0383, Fischer Technical Handbook, fischer-international.com</t>
  </si>
  <si>
    <t xml:space="preserve">Fischer FH II — High-Performance Sleeve Anchor (Through-Bolt)</t>
  </si>
  <si>
    <t xml:space="preserve">ETA-07/0025 | Cracked + Non-Cracked Concrete C20/25–C50/60 | Fire R120 | Seismic C1/C2</t>
  </si>
  <si>
    <t xml:space="preserve">Torque-controlled wedge expansion sleeve anchor — heavy-duty applications</t>
  </si>
  <si>
    <t xml:space="preserve">A. Variants</t>
  </si>
  <si>
    <t xml:space="preserve">Variant</t>
  </si>
  <si>
    <t xml:space="preserve">Thread Type</t>
  </si>
  <si>
    <t xml:space="preserve">Mechanism</t>
  </si>
  <si>
    <t xml:space="preserve">Key Feature</t>
  </si>
  <si>
    <t xml:space="preserve">Variant | Thread Type | Mechanism | Key Feature</t>
  </si>
  <si>
    <t xml:space="preserve">FH II-S</t>
  </si>
  <si>
    <t xml:space="preserve">External hex bolt</t>
  </si>
  <si>
    <t xml:space="preserve">Torque-controlled</t>
  </si>
  <si>
    <t xml:space="preserve">Standard — most common variant</t>
  </si>
  <si>
    <t xml:space="preserve">FH II-S | External hex bolt | Torque-controlled | Standard — most common variant</t>
  </si>
  <si>
    <t xml:space="preserve">FH II-SK</t>
  </si>
  <si>
    <t xml:space="preserve">External hex bolt + cone</t>
  </si>
  <si>
    <t xml:space="preserve">Self-cutting version for hard substrates</t>
  </si>
  <si>
    <t xml:space="preserve">FH II-SK | External hex bolt + cone | Torque-controlled | Self-cutting version for hard substrates</t>
  </si>
  <si>
    <t xml:space="preserve">FH II-I</t>
  </si>
  <si>
    <t xml:space="preserve">Internal thread (bolt-in)</t>
  </si>
  <si>
    <t xml:space="preserve">Displacement-controlled</t>
  </si>
  <si>
    <t xml:space="preserve">Visual gap (U = 3–5 mm) confirms correct setting</t>
  </si>
  <si>
    <t xml:space="preserve">FH II-I | Internal thread (bolt-in) | Displacement-controlled | Visual gap (U = 3–5 mm) confirms correct setting</t>
  </si>
  <si>
    <t xml:space="preserve">FH II-H</t>
  </si>
  <si>
    <t xml:space="preserve">Hook bolt</t>
  </si>
  <si>
    <t xml:space="preserve">For suspended installations (pipes, cable trays)</t>
  </si>
  <si>
    <t xml:space="preserve">FH II-H | Hook bolt | Torque-controlled | For suspended installations (pipes, cable trays)</t>
  </si>
  <si>
    <t xml:space="preserve">FH II-B</t>
  </si>
  <si>
    <t xml:space="preserve">Eye bolt</t>
  </si>
  <si>
    <t xml:space="preserve">Lifting / tie-down points</t>
  </si>
  <si>
    <t xml:space="preserve">FH II-B | Eye bolt | Torque-controlled | Lifting / tie-down points</t>
  </si>
  <si>
    <t xml:space="preserve">B. Installation Parameters</t>
  </si>
  <si>
    <t xml:space="preserve">Torque S
(Nm)</t>
  </si>
  <si>
    <t xml:space="preserve">Thread | Drill Ø
d₀ (mm) | hef
(mm) | hmin
(mm) | Torque S
(Nm)</t>
  </si>
  <si>
    <t xml:space="preserve">M6 | 10 | 40 | 80 | 10</t>
  </si>
  <si>
    <t xml:space="preserve">M8 | 12 | 50 | 100 | 25</t>
  </si>
  <si>
    <t xml:space="preserve">M10 | 15 | 60 | 110 | 40</t>
  </si>
  <si>
    <t xml:space="preserve">M12 | 18 | 75 | 120 | 60</t>
  </si>
  <si>
    <t xml:space="preserve">M16 | 24 | 100 | 150 | 100</t>
  </si>
  <si>
    <t xml:space="preserve">M20 | 28 | 125 | 180 | 150</t>
  </si>
  <si>
    <t xml:space="preserve">M24 | 32 | 150 | 210 | 180</t>
  </si>
  <si>
    <t xml:space="preserve">C. Design Resistance — Non-Cracked C20/25 (kN)</t>
  </si>
  <si>
    <t xml:space="preserve">NRd,s
(kN)</t>
  </si>
  <si>
    <t xml:space="preserve">NRd Total
(kN)</t>
  </si>
  <si>
    <t xml:space="preserve">VRd,s S/SK
(kN)</t>
  </si>
  <si>
    <t xml:space="preserve">Thread | NRd,s
(kN) | N⁰Rd,c
(kN) | NRd Total
(kN) | VRd,s S/SK
(kN)</t>
  </si>
  <si>
    <t xml:space="preserve">8.3</t>
  </si>
  <si>
    <t xml:space="preserve">M6 | 10.7 | 8.3 | 8.3 | 8.5</t>
  </si>
  <si>
    <t xml:space="preserve">M8 | 18 | 13.4 | 13.4 | 17</t>
  </si>
  <si>
    <t xml:space="preserve">30.8</t>
  </si>
  <si>
    <t xml:space="preserve">M10 | 27.7 | 19.4 | 19.4 | 30.8</t>
  </si>
  <si>
    <t xml:space="preserve">M12 | 44 | 28 | 28 | 44.5</t>
  </si>
  <si>
    <t xml:space="preserve">44.6</t>
  </si>
  <si>
    <t xml:space="preserve">79.2</t>
  </si>
  <si>
    <t xml:space="preserve">M16 | 74 | 44.6 | 44.6 | 79.2</t>
  </si>
  <si>
    <t xml:space="preserve">60.3</t>
  </si>
  <si>
    <t xml:space="preserve">123.7</t>
  </si>
  <si>
    <t xml:space="preserve">M20 | 100 | 60.3 | 60.3 | 123.7</t>
  </si>
  <si>
    <t xml:space="preserve">M24 | 188 | 60.3 | 60.3 | 123.7</t>
  </si>
  <si>
    <t xml:space="preserve">D. Design Resistance — CRACKED C20/25 (kN)</t>
  </si>
  <si>
    <t xml:space="preserve">6.1</t>
  </si>
  <si>
    <t xml:space="preserve">M6 | 10.7 | 5 | 5 | 6.1</t>
  </si>
  <si>
    <t xml:space="preserve">8.4</t>
  </si>
  <si>
    <t xml:space="preserve">12.1</t>
  </si>
  <si>
    <t xml:space="preserve">M8 | 18 | 8.4 | 8.4 | 12.1</t>
  </si>
  <si>
    <t xml:space="preserve">M10 | 27.7 | 12.1 | 12.1 | 22</t>
  </si>
  <si>
    <t xml:space="preserve">M12 | 44 | 17.5 | 17.5 | 31.7</t>
  </si>
  <si>
    <t xml:space="preserve">56.5</t>
  </si>
  <si>
    <t xml:space="preserve">M16 | 74 | 27.9 | 27.9 | 56.5</t>
  </si>
  <si>
    <t xml:space="preserve">42.2</t>
  </si>
  <si>
    <t xml:space="preserve">M20 | 100 | 42.2 | 42.2 | 88.2</t>
  </si>
  <si>
    <t xml:space="preserve">M24 | 188 | 42.2 | 42.2 | 88.2</t>
  </si>
  <si>
    <t xml:space="preserve">Source: ETA-07/0025, Fischer Technical Handbook, fischer-international.com</t>
  </si>
  <si>
    <t xml:space="preserve">Fischer FHB II — Highbond Anchor (Bonded Expansion Anchor)</t>
  </si>
  <si>
    <t xml:space="preserve">ETA-05/0164 (A-L) | ETA-16/0637 (A-S) | Cracked + Non-Cracked | Seismic C1/C2 | Fire R90/R120</t>
  </si>
  <si>
    <t xml:space="preserve">Dual mechanism: mechanical expansion + chemical bond — maximum reliability for safety-critical applications</t>
  </si>
  <si>
    <t xml:space="preserve">Embedment</t>
  </si>
  <si>
    <t xml:space="preserve">Variant | ETA | Embedment | Key Feature</t>
  </si>
  <si>
    <t xml:space="preserve">FHB II-A L</t>
  </si>
  <si>
    <t xml:space="preserve">ETA-05/0164</t>
  </si>
  <si>
    <t xml:space="preserve">Long embedment</t>
  </si>
  <si>
    <t xml:space="preserve">Highest pull-out loads — deep anchorage</t>
  </si>
  <si>
    <t xml:space="preserve">FHB II-A L | ETA-05/0164 | Long embedment | Highest pull-out loads — deep anchorage</t>
  </si>
  <si>
    <t xml:space="preserve">FHB II-A S</t>
  </si>
  <si>
    <t xml:space="preserve">ETA-16/0637</t>
  </si>
  <si>
    <t xml:space="preserve">Short embedment</t>
  </si>
  <si>
    <t xml:space="preserve">Reduced drill depth — thin slabs</t>
  </si>
  <si>
    <t xml:space="preserve">FHB II-A S | ETA-16/0637 | Short embedment | Reduced drill depth — thin slabs</t>
  </si>
  <si>
    <t xml:space="preserve">FHB II-A L Inject</t>
  </si>
  <si>
    <t xml:space="preserve">Long + injection resin</t>
  </si>
  <si>
    <t xml:space="preserve">Maximum bond + expansion in single anchor</t>
  </si>
  <si>
    <t xml:space="preserve">FHB II-A L Inject | ETA-05/0164 | Long + injection resin | Maximum bond + expansion in single anchor</t>
  </si>
  <si>
    <t xml:space="preserve">FHB II-A S Inject</t>
  </si>
  <si>
    <t xml:space="preserve">Short + injection resin</t>
  </si>
  <si>
    <t xml:space="preserve">Inject variant for short embedment</t>
  </si>
  <si>
    <t xml:space="preserve">FHB II-A S Inject | ETA-16/0637 | Short + injection resin | Inject variant for short embedment</t>
  </si>
  <si>
    <t xml:space="preserve">B. Specifications per Size</t>
  </si>
  <si>
    <t xml:space="preserve">Drill Ø
(mm)</t>
  </si>
  <si>
    <t xml:space="preserve">hef A-L
(mm)</t>
  </si>
  <si>
    <t xml:space="preserve">hef A-S
(mm)</t>
  </si>
  <si>
    <t xml:space="preserve">Thread | Drill Ø
(mm) | hef A-L
(mm) | hef A-S
(mm) | hmin
(mm)</t>
  </si>
  <si>
    <t xml:space="preserve">M8 | 12 | 60 | 45 | 100</t>
  </si>
  <si>
    <t xml:space="preserve">M10 | 14 | 75 | 50 | 120</t>
  </si>
  <si>
    <t xml:space="preserve">M12 | 16 | 90 | 65 | 140</t>
  </si>
  <si>
    <t xml:space="preserve">M16 | 20 | 125 | 85 | 180</t>
  </si>
  <si>
    <t xml:space="preserve">M20 | 25 | 170 | 110 | 240</t>
  </si>
  <si>
    <t xml:space="preserve">M24 | 25 | 210 | 140 | 280</t>
  </si>
  <si>
    <t xml:space="preserve">16.7</t>
  </si>
  <si>
    <t xml:space="preserve">M8 | 60 | 16.7 | 14.2 | 14.5</t>
  </si>
  <si>
    <t xml:space="preserve">M10 | 75 | 26 | 22 | 21.3</t>
  </si>
  <si>
    <t xml:space="preserve">M12 | 90 | 37.3 | 32 | 30</t>
  </si>
  <si>
    <t xml:space="preserve">50.5</t>
  </si>
  <si>
    <t xml:space="preserve">M16 | 125 | 65 | 55.7 | 50.5</t>
  </si>
  <si>
    <t xml:space="preserve">91.7</t>
  </si>
  <si>
    <t xml:space="preserve">82</t>
  </si>
  <si>
    <t xml:space="preserve">M20 | 170 | 91.7 | 78 | 82</t>
  </si>
  <si>
    <t xml:space="preserve">112.7</t>
  </si>
  <si>
    <t xml:space="preserve">M24 | 210 | 91.7 | 78 | 112.7</t>
  </si>
  <si>
    <t xml:space="preserve">M8 | 60 | 16.7 | 14.2 | 11.2</t>
  </si>
  <si>
    <t xml:space="preserve">M10 | 75 | 26 | 22 | 16.4</t>
  </si>
  <si>
    <t xml:space="preserve">23.2</t>
  </si>
  <si>
    <t xml:space="preserve">M12 | 90 | 37.3 | 32 | 23.2</t>
  </si>
  <si>
    <t xml:space="preserve">39</t>
  </si>
  <si>
    <t xml:space="preserve">M16 | 125 | 65 | 55.7 | 39</t>
  </si>
  <si>
    <t xml:space="preserve">63.3</t>
  </si>
  <si>
    <t xml:space="preserve">M20 | 170 | 91.7 | 78 | 63.3</t>
  </si>
  <si>
    <t xml:space="preserve">M24 | 210 | 91.7 | 78 | 87</t>
  </si>
  <si>
    <t xml:space="preserve">E. What Makes the FHB II Unique</t>
  </si>
  <si>
    <t xml:space="preserve">• Dual mechanism: Mechanical expansion + chemical bond capsule = redundant load transfer</t>
  </si>
  <si>
    <t xml:space="preserve">• If bond fails, mechanical expansion still carries load (built-in safety)</t>
  </si>
  <si>
    <t xml:space="preserve">• Pre-loaded capsule — no mixing, no dispensing equipment, no waste</t>
  </si>
  <si>
    <t xml:space="preserve">• Certified for overhead installation (Category D3) — critical for ceilings and soffits</t>
  </si>
  <si>
    <t xml:space="preserve">• Seismic C1 + C2 approved with full design values per TR 045</t>
  </si>
  <si>
    <t xml:space="preserve">• Fire rated R90 (A-S) / R120 (A-L) with published NRd,fi and VRd,fi values</t>
  </si>
  <si>
    <t xml:space="preserve">• Available in gvz (CRC I), A4 stainless (CRC III), HCR/C (CRC V)</t>
  </si>
  <si>
    <t xml:space="preserve">Source: ETA-05/0164, ETA-16/0637, Fischer Technical Handbook, fischer-international.com</t>
  </si>
  <si>
    <t xml:space="preserve">Fischer FZA Zykon — Undercut Anchor System</t>
  </si>
  <si>
    <t xml:space="preserve">ETA-98/0004 (FZA) | ETA-06/0271 (FZEA II) | Cracked + Non-Cracked | Seismic C1/C2 | Fire R120</t>
  </si>
  <si>
    <t xml:space="preserve">Undercut technology — creates mechanical key in concrete for highest reliability in cracked concrete</t>
  </si>
  <si>
    <t xml:space="preserve">A. Product Range</t>
  </si>
  <si>
    <t xml:space="preserve">Setting Method</t>
  </si>
  <si>
    <t xml:space="preserve">Product | Thread Type | Setting Method | Key Feature</t>
  </si>
  <si>
    <t xml:space="preserve">FZA</t>
  </si>
  <si>
    <t xml:space="preserve">External bolt</t>
  </si>
  <si>
    <t xml:space="preserve">Setting tool FZUB + FZE Plus</t>
  </si>
  <si>
    <t xml:space="preserve">Standard through-fixing, highest loads</t>
  </si>
  <si>
    <t xml:space="preserve">FZA | External bolt | Setting tool FZUB + FZE Plus | Standard through-fixing, highest loads</t>
  </si>
  <si>
    <t xml:space="preserve">FZA-D</t>
  </si>
  <si>
    <t xml:space="preserve">Setting tool (through-fixing)</t>
  </si>
  <si>
    <t xml:space="preserve">Direct fixing through component</t>
  </si>
  <si>
    <t xml:space="preserve">FZA-D | External bolt | Setting tool (through-fixing) | Direct fixing through component</t>
  </si>
  <si>
    <t xml:space="preserve">FZA-I</t>
  </si>
  <si>
    <t xml:space="preserve">Internal thread M6–M16</t>
  </si>
  <si>
    <t xml:space="preserve">Setting tool FZUB</t>
  </si>
  <si>
    <t xml:space="preserve">Bolt-in after setting — flexible fixings</t>
  </si>
  <si>
    <t xml:space="preserve">FZA-I | Internal thread M6–M16 | Setting tool FZUB | Bolt-in after setting — flexible fixings</t>
  </si>
  <si>
    <t xml:space="preserve">FZA-Q</t>
  </si>
  <si>
    <t xml:space="preserve">Internal thread + HDG</t>
  </si>
  <si>
    <t xml:space="preserve">Setting tool</t>
  </si>
  <si>
    <t xml:space="preserve">Hot-dip galvanised for outdoor/aggressive</t>
  </si>
  <si>
    <t xml:space="preserve">FZA-Q | Internal thread + HDG | Setting tool | Hot-dip galvanised for outdoor/aggressive</t>
  </si>
  <si>
    <t xml:space="preserve">FZEA II</t>
  </si>
  <si>
    <t xml:space="preserve">External bolt (hammer-set)</t>
  </si>
  <si>
    <t xml:space="preserve">Hammer + setting tool</t>
  </si>
  <si>
    <t xml:space="preserve">Simplified installation — no drill extension</t>
  </si>
  <si>
    <t xml:space="preserve">FZEA II | External bolt (hammer-set) | Hammer + setting tool | Simplified installation — no drill extension</t>
  </si>
  <si>
    <t xml:space="preserve">B. FZA Specifications per Size</t>
  </si>
  <si>
    <t xml:space="preserve">Anchor</t>
  </si>
  <si>
    <t xml:space="preserve">Drill Depth
(mm)</t>
  </si>
  <si>
    <t xml:space="preserve">Anchor | Thread | Drill Ø
(mm) | hef
(mm) | Drill Depth
(mm)</t>
  </si>
  <si>
    <t xml:space="preserve">FZA 12×30 M6</t>
  </si>
  <si>
    <t xml:space="preserve">FZA 12×30 M6 | M6 | 12 | 40 | 48</t>
  </si>
  <si>
    <t xml:space="preserve">FZA 12×50 M8</t>
  </si>
  <si>
    <t xml:space="preserve">FZA 12×50 M8 | M8 | 12 | 50 | 60</t>
  </si>
  <si>
    <t xml:space="preserve">FZA 14×40 M8</t>
  </si>
  <si>
    <t xml:space="preserve">FZA 14×40 M8 | M8 | 14 | 55 | 65</t>
  </si>
  <si>
    <t xml:space="preserve">FZA 14×60 M10</t>
  </si>
  <si>
    <t xml:space="preserve">FZA 14×60 M10 | M10 | 14 | 70 | 82</t>
  </si>
  <si>
    <t xml:space="preserve">FZA 18×40 M10</t>
  </si>
  <si>
    <t xml:space="preserve">FZA 18×40 M10 | M10 | 18 | 65 | 78</t>
  </si>
  <si>
    <t xml:space="preserve">FZA 18×60 M12</t>
  </si>
  <si>
    <t xml:space="preserve">FZA 18×60 M12 | M12 | 18 | 80 | 95</t>
  </si>
  <si>
    <t xml:space="preserve">FZA 18×80 M12</t>
  </si>
  <si>
    <t xml:space="preserve">FZA 18×80 M12 | M12 | 18 | 100 | 115</t>
  </si>
  <si>
    <t xml:space="preserve">FZA 25×60 M16</t>
  </si>
  <si>
    <t xml:space="preserve">FZA 25×60 M16 | M16 | 25 | 105 | 120</t>
  </si>
  <si>
    <t xml:space="preserve">FZA 25×80 M16</t>
  </si>
  <si>
    <t xml:space="preserve">FZA 25×80 M16 | M16 | 25 | 125 | 140</t>
  </si>
  <si>
    <t xml:space="preserve">M6 | 40 | 7.3 | 6.2 | 11.5</t>
  </si>
  <si>
    <t xml:space="preserve">M8 | 50 | 14.2 | 12 | 17.8</t>
  </si>
  <si>
    <t xml:space="preserve">20.6</t>
  </si>
  <si>
    <t xml:space="preserve">M8 | 55 | 14.2 | 12 | 20.6</t>
  </si>
  <si>
    <t xml:space="preserve">M10 | 65 | 22 | 18.8 | 27</t>
  </si>
  <si>
    <t xml:space="preserve">30.3</t>
  </si>
  <si>
    <t xml:space="preserve">M10 | 70 | 22 | 18.8 | 30.3</t>
  </si>
  <si>
    <t xml:space="preserve">M12 | 80 | 32 | 27.2 | 38</t>
  </si>
  <si>
    <t xml:space="preserve">53.5</t>
  </si>
  <si>
    <t xml:space="preserve">M12 | 100 | 32 | 27.2 | 53.5</t>
  </si>
  <si>
    <t xml:space="preserve">47.4</t>
  </si>
  <si>
    <t xml:space="preserve">M16 | 105 | 55.7 | 47.4 | 58</t>
  </si>
  <si>
    <t xml:space="preserve">M16 | 125 | 55.7 | 47.4 | 75</t>
  </si>
  <si>
    <t xml:space="preserve">7.2</t>
  </si>
  <si>
    <t xml:space="preserve">M6 | 40 | 7.3 | 6.2 | 7.2</t>
  </si>
  <si>
    <t xml:space="preserve">M8 | 50 | 14.2 | 12 | 11.1</t>
  </si>
  <si>
    <t xml:space="preserve">12.9</t>
  </si>
  <si>
    <t xml:space="preserve">M8 | 55 | 14.2 | 12 | 12.9</t>
  </si>
  <si>
    <t xml:space="preserve">16.9</t>
  </si>
  <si>
    <t xml:space="preserve">M10 | 65 | 22 | 18.8 | 16.9</t>
  </si>
  <si>
    <t xml:space="preserve">18.9</t>
  </si>
  <si>
    <t xml:space="preserve">M10 | 70 | 22 | 18.8 | 18.9</t>
  </si>
  <si>
    <t xml:space="preserve">M12 | 80 | 32 | 27.2 | 23.8</t>
  </si>
  <si>
    <t xml:space="preserve">33.4</t>
  </si>
  <si>
    <t xml:space="preserve">M12 | 100 | 32 | 27.2 | 33.4</t>
  </si>
  <si>
    <t xml:space="preserve">36.3</t>
  </si>
  <si>
    <t xml:space="preserve">M16 | 105 | 55.7 | 47.4 | 36.3</t>
  </si>
  <si>
    <t xml:space="preserve">M16 | 125 | 55.7 | 47.4 | 46.9</t>
  </si>
  <si>
    <t xml:space="preserve">E. What Makes the Zykon FZA Unique — Undercut Technology</t>
  </si>
  <si>
    <t xml:space="preserve">• Creates a mechanical undercut in concrete — load-bearing even if concrete cracks after installation</t>
  </si>
  <si>
    <t xml:space="preserve">• Pull-out failure does NOT govern design (unlike expansion or bonded anchors)</t>
  </si>
  <si>
    <t xml:space="preserve">• Highest reliability in cracked concrete — concrete cone is the only tension failure mode</t>
  </si>
  <si>
    <t xml:space="preserve">• The FZUB setting tool simultaneously drills the undercut and sets the anchor</t>
  </si>
  <si>
    <t xml:space="preserve">• FZE Plus drill extension creates the undercut groove at the base of the hole</t>
  </si>
  <si>
    <t xml:space="preserve">• Suitable for natural stone with dense structure (in addition to concrete)</t>
  </si>
  <si>
    <t xml:space="preserve">• No chemical curing time — immediate load after torque application</t>
  </si>
  <si>
    <t xml:space="preserve">• Seismic C1 + C2 approved; Fire R120; Overhead installation approved</t>
  </si>
  <si>
    <t xml:space="preserve">F. FZEA II — Hammer-Set Zykon Anchor (ETA-06/0271)</t>
  </si>
  <si>
    <t xml:space="preserve">Thread | Drill Ø
(mm) | hef
(mm) | hmin
(mm) | NRd,s gvz
(kN)</t>
  </si>
  <si>
    <t xml:space="preserve">M8 | 12 | 40 | 100 | 14.2</t>
  </si>
  <si>
    <t xml:space="preserve">M10 | 14 | 40 | 100 | 22</t>
  </si>
  <si>
    <t xml:space="preserve">M12 | 18 | 40 | 100 | 32</t>
  </si>
  <si>
    <t xml:space="preserve">Source: ETA-98/0004, ETA-06/0271, Fischer Technical Handbook, fischer-international.com</t>
  </si>
  <si>
    <t xml:space="preserve">Fischer Light-Duty &amp; Nylon Fixings — DuoPower, SX, Frame Fix, Nail Anchors</t>
  </si>
  <si>
    <t xml:space="preserve">Nylon anchors, frame fixings, and hammer-set anchors for general construction and fit-out works</t>
  </si>
  <si>
    <t xml:space="preserve">A. Fischer DuoPower — Premium Universal Plug</t>
  </si>
  <si>
    <t xml:space="preserve">Size</t>
  </si>
  <si>
    <t xml:space="preserve">Plug Length
(mm)</t>
  </si>
  <si>
    <t xml:space="preserve">Screw Ø
(mm)</t>
  </si>
  <si>
    <t xml:space="preserve">Screw Length
(mm)</t>
  </si>
  <si>
    <t xml:space="preserve">Size | Drill Ø
(mm) | Plug Length
(mm) | Screw Ø
(mm) | Screw Length
(mm)</t>
  </si>
  <si>
    <t xml:space="preserve">5×25</t>
  </si>
  <si>
    <t xml:space="preserve">3.5–4.0</t>
  </si>
  <si>
    <t xml:space="preserve">35–45</t>
  </si>
  <si>
    <t xml:space="preserve">5×25 | 5 | 25 | 3.5–4.0 | 35–45</t>
  </si>
  <si>
    <t xml:space="preserve">6×30</t>
  </si>
  <si>
    <t xml:space="preserve">4.0–5.0</t>
  </si>
  <si>
    <t xml:space="preserve">40–60</t>
  </si>
  <si>
    <t xml:space="preserve">6×30 | 6 | 30 | 4.0–5.0 | 40–60</t>
  </si>
  <si>
    <t xml:space="preserve">6×50</t>
  </si>
  <si>
    <t xml:space="preserve">60–80</t>
  </si>
  <si>
    <t xml:space="preserve">6×50 | 6 | 50 | 4.0–5.0 | 60–80</t>
  </si>
  <si>
    <t xml:space="preserve">8×40</t>
  </si>
  <si>
    <t xml:space="preserve">4.5–6.0</t>
  </si>
  <si>
    <t xml:space="preserve">50–80</t>
  </si>
  <si>
    <t xml:space="preserve">8×40 | 8 | 40 | 4.5–6.0 | 50–80</t>
  </si>
  <si>
    <t xml:space="preserve">8×65</t>
  </si>
  <si>
    <t xml:space="preserve">75–100</t>
  </si>
  <si>
    <t xml:space="preserve">8×65 | 8 | 65 | 4.5–6.0 | 75–100</t>
  </si>
  <si>
    <t xml:space="preserve">10×50</t>
  </si>
  <si>
    <t xml:space="preserve">6.0–7.0</t>
  </si>
  <si>
    <t xml:space="preserve">70–100</t>
  </si>
  <si>
    <t xml:space="preserve">10×50 | 10 | 50 | 6.0–7.0 | 70–100</t>
  </si>
  <si>
    <t xml:space="preserve">10×80</t>
  </si>
  <si>
    <t xml:space="preserve">90–120</t>
  </si>
  <si>
    <t xml:space="preserve">10×80 | 10 | 80 | 6.0–7.0 | 90–120</t>
  </si>
  <si>
    <t xml:space="preserve">12×60</t>
  </si>
  <si>
    <t xml:space="preserve">8.0</t>
  </si>
  <si>
    <t xml:space="preserve">80–120</t>
  </si>
  <si>
    <t xml:space="preserve">12×60 | 12 | 60 | 8.0 | 80–120</t>
  </si>
  <si>
    <t xml:space="preserve">14×70</t>
  </si>
  <si>
    <t xml:space="preserve">10.0</t>
  </si>
  <si>
    <t xml:space="preserve">100–135</t>
  </si>
  <si>
    <t xml:space="preserve">14×70 | 14 | 70 | 10.0 | 100–135</t>
  </si>
  <si>
    <t xml:space="preserve">B. Fischer SX — Standard Expansion Plug</t>
  </si>
  <si>
    <t xml:space="preserve">Max Load
Concrete (kN)</t>
  </si>
  <si>
    <t xml:space="preserve">Size | Drill Ø
(mm) | Plug Length
(mm) | Screw Ø
(mm) | Max Load
Concrete (kN)</t>
  </si>
  <si>
    <t xml:space="preserve">SX 5×25</t>
  </si>
  <si>
    <t xml:space="preserve">3.0–4.0</t>
  </si>
  <si>
    <t xml:space="preserve">0.12</t>
  </si>
  <si>
    <t xml:space="preserve">SX 5×25 | 5 | 25 | 3.0–4.0 | 0.12</t>
  </si>
  <si>
    <t xml:space="preserve">SX 6×30</t>
  </si>
  <si>
    <t xml:space="preserve">SX 6×30 | 6 | 30 | 4.0–5.0 | 0.21</t>
  </si>
  <si>
    <t xml:space="preserve">SX 8×40</t>
  </si>
  <si>
    <t xml:space="preserve">0.39</t>
  </si>
  <si>
    <t xml:space="preserve">SX 8×40 | 8 | 40 | 4.5–6.0 | 0.39</t>
  </si>
  <si>
    <t xml:space="preserve">SX 10×50</t>
  </si>
  <si>
    <t xml:space="preserve">6.0–8.0</t>
  </si>
  <si>
    <t xml:space="preserve">SX 10×50 | 10 | 50 | 6.0–8.0 | 0.71</t>
  </si>
  <si>
    <t xml:space="preserve">SX 12×60</t>
  </si>
  <si>
    <t xml:space="preserve">8.0–10.0</t>
  </si>
  <si>
    <t xml:space="preserve">SX 12×60 | 12 | 60 | 8.0–10.0 | 1.1</t>
  </si>
  <si>
    <t xml:space="preserve">SX 14×70</t>
  </si>
  <si>
    <t xml:space="preserve">10.0–12.0</t>
  </si>
  <si>
    <t xml:space="preserve">SX 14×70 | 14 | 70 | 10.0–12.0 | 1.5</t>
  </si>
  <si>
    <t xml:space="preserve">C. Fischer SXR / SXRL — Frame Fixings</t>
  </si>
  <si>
    <t xml:space="preserve">Frame Ø
(mm)</t>
  </si>
  <si>
    <t xml:space="preserve">Lengths Available
(mm)</t>
  </si>
  <si>
    <t xml:space="preserve">Embedment
Depths</t>
  </si>
  <si>
    <t xml:space="preserve">Product | Frame Ø
(mm) | Lengths Available
(mm) | Embedment
Depths | ETA</t>
  </si>
  <si>
    <t xml:space="preserve">SXR 8×60</t>
  </si>
  <si>
    <t xml:space="preserve">60, 80, 100, 120, 140, 160, 200</t>
  </si>
  <si>
    <t xml:space="preserve">3 depths per length</t>
  </si>
  <si>
    <t xml:space="preserve">ETA-07/0121</t>
  </si>
  <si>
    <t xml:space="preserve">SXR 8×60 | 8 | 60, 80, 100, 120, 140, 160, 200 | 3 depths per length | ETA-07/0121</t>
  </si>
  <si>
    <t xml:space="preserve">SXR 10×80</t>
  </si>
  <si>
    <t xml:space="preserve">80, 100, 120, 140, 160, 180, 200, 230, 260</t>
  </si>
  <si>
    <t xml:space="preserve">3 depths</t>
  </si>
  <si>
    <t xml:space="preserve">SXR 10×80 | 10 | 80, 100, 120, 140, 160, 180, 200, 230, 260 | 3 depths | ETA-07/0121</t>
  </si>
  <si>
    <t xml:space="preserve">SXRL 8×100</t>
  </si>
  <si>
    <t xml:space="preserve">100, 120, 140, 160</t>
  </si>
  <si>
    <t xml:space="preserve">SXRL 8×100 | 8 | 100, 120, 140, 160 | 3 depths | ETA-07/0121</t>
  </si>
  <si>
    <t xml:space="preserve">SXRL 10×120</t>
  </si>
  <si>
    <t xml:space="preserve">120, 140, 160, 180, 200, 230, 260, 280, 300</t>
  </si>
  <si>
    <t xml:space="preserve">SXRL 10×120 | 10 | 120, 140, 160, 180, 200, 230, 260, 280, 300 | 3 depths | ETA-07/0121</t>
  </si>
  <si>
    <t xml:space="preserve">D. Fischer Hammerfix N — Nail Anchor</t>
  </si>
  <si>
    <t xml:space="preserve">Length
(mm)</t>
  </si>
  <si>
    <t xml:space="preserve">Max Load
Brick (kN)</t>
  </si>
  <si>
    <t xml:space="preserve">Size | Drill Ø
(mm) | Length
(mm) | Max Load
Concrete (kN) | Max Load
Brick (kN)</t>
  </si>
  <si>
    <t xml:space="preserve">N 5×30</t>
  </si>
  <si>
    <t xml:space="preserve">0.14</t>
  </si>
  <si>
    <t xml:space="preserve">0.08</t>
  </si>
  <si>
    <t xml:space="preserve">N 5×30 | 5 | 30 | 0.14 | 0.08</t>
  </si>
  <si>
    <t xml:space="preserve">N 5×40</t>
  </si>
  <si>
    <t xml:space="preserve">N 5×40 | 5 | 40 | 0.14 | 0.08</t>
  </si>
  <si>
    <t xml:space="preserve">N 5×50</t>
  </si>
  <si>
    <t xml:space="preserve">N 5×50 | 5 | 50 | 0.14 | 0.08</t>
  </si>
  <si>
    <t xml:space="preserve">N 6×40</t>
  </si>
  <si>
    <t xml:space="preserve">0.22</t>
  </si>
  <si>
    <t xml:space="preserve">0.13</t>
  </si>
  <si>
    <t xml:space="preserve">N 6×40 | 6 | 40 | 0.22 | 0.13</t>
  </si>
  <si>
    <t xml:space="preserve">N 6×60</t>
  </si>
  <si>
    <t xml:space="preserve">N 6×60 | 6 | 60 | 0.22 | 0.13</t>
  </si>
  <si>
    <t xml:space="preserve">N 6×80</t>
  </si>
  <si>
    <t xml:space="preserve">N 6×80 | 6 | 80 | 0.22 | 0.13</t>
  </si>
  <si>
    <t xml:space="preserve">N 8×60</t>
  </si>
  <si>
    <t xml:space="preserve">0.42</t>
  </si>
  <si>
    <t xml:space="preserve">N 8×60 | 8 | 60 | 0.42 | 0.22</t>
  </si>
  <si>
    <t xml:space="preserve">N 8×80</t>
  </si>
  <si>
    <t xml:space="preserve">N 8×80 | 8 | 80 | 0.42 | 0.22</t>
  </si>
  <si>
    <t xml:space="preserve">N 8×100</t>
  </si>
  <si>
    <t xml:space="preserve">N 8×100 | 8 | 100 | 0.42 | 0.22</t>
  </si>
  <si>
    <t xml:space="preserve">E. Fischer EA II — Hammerset Steel Anchor (Internal Thread)</t>
  </si>
  <si>
    <t xml:space="preserve">Thread | Drill Ø
(mm) | hef
(mm) | hmin
(mm) | NRd,s
(kN)</t>
  </si>
  <si>
    <t xml:space="preserve">M6 | 10 | 25 | 80 | 7.1</t>
  </si>
  <si>
    <t xml:space="preserve">M8 | 12 | 30 | 100 | 11.8</t>
  </si>
  <si>
    <t xml:space="preserve">M10 | 15 | 40 | 110 | 19.4</t>
  </si>
  <si>
    <t xml:space="preserve">M12 | 18 | 50 | 120 | 29.7</t>
  </si>
  <si>
    <t xml:space="preserve">M16 | 22 | 55 | 140 | 51.9</t>
  </si>
  <si>
    <t xml:space="preserve">M20 | 28 | 65 | 160 | 71.3</t>
  </si>
  <si>
    <t xml:space="preserve">Source: Fischer Technical Handbook, fischer-international.com, ETA-07/0121 (SXR/SXRL)</t>
  </si>
  <si>
    <t xml:space="preserve">Handrail SS304 vs galvanised mild steel comparison</t>
  </si>
  <si>
    <t xml:space="preserve">Top rail post pipe handrail guard rail BS WSH</t>
  </si>
  <si>
    <t xml:space="preserve">Handrail SS304 vs galvanised mild steel comparison Top rail post pipe handrail guard rail BS WSH</t>
  </si>
  <si>
    <t xml:space="preserve">Work-at-height platform comparison grating chequered plate</t>
  </si>
  <si>
    <t xml:space="preserve">platform deck walkway grating chequered plate UDL slip drainage</t>
  </si>
  <si>
    <t xml:space="preserve">Work-at-height platform comparison grating chequered plate UDL slip drainage walkway deck</t>
  </si>
  <si>
    <t xml:space="preserve">Cat ladder aluminium SS304 galvanised mild steel comparison</t>
  </si>
  <si>
    <t xml:space="preserve">cat ladder rung stile EN ISO 14122-4 vertical fixed ladder roof access</t>
  </si>
  <si>
    <t xml:space="preserve">Cat ladder aluminium SS304 galvanised mild steel comparison rung stile EN ISO 14122-4 vertical fixed ladder roof access</t>
  </si>
  <si>
    <t xml:space="preserve">Ramp chequered plate vs grating comparison</t>
  </si>
  <si>
    <t xml:space="preserve">ramp slope wheel trolley pedestrian gradient slip resistance</t>
  </si>
  <si>
    <t xml:space="preserve">Ramp chequered plate vs grating comparison slope wheel trolley pedestrian gradient slip resistance</t>
  </si>
  <si>
    <t xml:space="preserve">EN 10025-2 / -3 / -4 / -6</t>
  </si>
  <si>
    <t xml:space="preserve">EN 10025-4 / -6</t>
  </si>
  <si>
    <t xml:space="preserve">420 MPa</t>
  </si>
  <si>
    <t xml:space="preserve">460 MPa</t>
  </si>
  <si>
    <t xml:space="preserve">500 MPa</t>
  </si>
  <si>
    <t xml:space="preserve">540–720</t>
  </si>
  <si>
    <t xml:space="preserve">590–770</t>
  </si>
  <si>
    <t xml:space="preserve">J0 · J2 · M/N · ML/NL</t>
  </si>
  <si>
    <t xml:space="preserve">J0 · J2 · K2 · M/N · ML/NL · Q · QL · QL1</t>
  </si>
  <si>
    <t xml:space="preserve">Q · QL · QL1 · M/N · ML/NL</t>
  </si>
  <si>
    <t xml:space="preserve">CEV max: 0.47</t>
  </si>
  <si>
    <t xml:space="preserve">CEV max: 0.53</t>
  </si>
  <si>
    <t xml:space="preserve">CEV max: 0.56</t>
  </si>
  <si>
    <t xml:space="preserve">Plate girders, heavy bridges, high-rise columns</t>
  </si>
  <si>
    <t xml:space="preserve">Offshore structures, long-span bridges, cranes, seismic zones</t>
  </si>
  <si>
    <t xml:space="preserve">Ultra-heavy equipment, mining machinery, offshore platforms, crane booms</t>
  </si>
  <si>
    <t xml:space="preserve">Max (S500)</t>
  </si>
  <si>
    <t xml:space="preserve">Min (S235)</t>
  </si>
  <si>
    <t xml:space="preserve">530–710</t>
  </si>
  <si>
    <t xml:space="preserve">570–750</t>
  </si>
  <si>
    <t xml:space="preserve">520–700</t>
  </si>
  <si>
    <t xml:space="preserve">500–680</t>
  </si>
  <si>
    <t xml:space="preserve">490–660</t>
  </si>
  <si>
    <t xml:space="preserve">J0 / J2 / K2 / M/N / ML/NL / Q / QL / QL1</t>
  </si>
  <si>
    <t xml:space="preserve">Q / QL / QL1 / M/N / ML/NL</t>
  </si>
  <si>
    <t xml:space="preserve">-60°C (QL1)</t>
  </si>
  <si>
    <t xml:space="preserve">27 J at −60°C</t>
  </si>
  <si>
    <t xml:space="preserve">Yes (always)</t>
  </si>
  <si>
    <t xml:space="preserve">PWHT Required</t>
  </si>
  <si>
    <t xml:space="preserve">Typical Welding Notes</t>
  </si>
  <si>
    <t xml:space="preserve">Not required</t>
  </si>
  <si>
    <t xml:space="preserve">Suitable for all arc processes; no special care needed below 25mm</t>
  </si>
  <si>
    <t xml:space="preserve">General good weldability; preheating beneficial in cold conditions</t>
  </si>
  <si>
    <t xml:space="preserve">Most versatile structural grade; preheating needed for thick sections and low temperature</t>
  </si>
  <si>
    <t xml:space="preserve">Consult spec</t>
  </si>
  <si>
    <t xml:space="preserve">Fine-grain weldable; low hydrogen electrodes recommended; controlled heat input</t>
  </si>
  <si>
    <t xml:space="preserve">EN 10025-3/-4</t>
  </si>
  <si>
    <t xml:space="preserve">Sometimes</t>
  </si>
  <si>
    <t xml:space="preserve">High strength — strict preheat, low H2 process; avoid rapid cooling; heat input control</t>
  </si>
  <si>
    <t xml:space="preserve">Q+T steel — welding restores soft zones; buttering runs recommended for thick plates</t>
  </si>
  <si>
    <t xml:space="preserve">EN 10025-4/-6</t>
  </si>
  <si>
    <t xml:space="preserve">Back-Purge</t>
  </si>
  <si>
    <t xml:space="preserve">Key Risks</t>
  </si>
  <si>
    <t xml:space="preserve">Welding Notes</t>
  </si>
  <si>
    <t xml:space="preserve">Recommended</t>
  </si>
  <si>
    <t xml:space="preserve">Sensitisation (Cr-carbide at 425–850°C)</t>
  </si>
  <si>
    <t xml:space="preserve">Low heat input, avoid prolonged dwell in sensitisation range; solution anneal if needed</t>
  </si>
  <si>
    <t xml:space="preserve">Hot cracking in restrained joints</t>
  </si>
  <si>
    <t xml:space="preserve">Low-carbon 'L' grade resists sensitisation; delta-ferrite in weld controls hot cracking</t>
  </si>
  <si>
    <t xml:space="preserve">Required</t>
  </si>
  <si>
    <t xml:space="preserve">Grain coarsening in HAZ → embrittlement</t>
  </si>
  <si>
    <t xml:space="preserve">Limit heat input &lt;1.5 kJ/mm; PWHT at 750°C for 1 hr may restore toughness</t>
  </si>
  <si>
    <t xml:space="preserve">Higher work-hardening, possible hot cracking</t>
  </si>
  <si>
    <t xml:space="preserve">Similar to 304 but higher Mn; avoid contamination; grind oxide between passes</t>
  </si>
  <si>
    <t xml:space="preserve">Tensile Rm
Max (MPa)</t>
  </si>
  <si>
    <t xml:space="preserve">Elongation
(%)</t>
  </si>
  <si>
    <t xml:space="preserve">Governing Standard</t>
  </si>
  <si>
    <t xml:space="preserve">Design Notes</t>
  </si>
  <si>
    <t xml:space="preserve">EN 10025-2 / EC3 (EN1993-1-1)</t>
  </si>
  <si>
    <t xml:space="preserve">Defined yield point; most economical grade</t>
  </si>
  <si>
    <t xml:space="preserve">General-purpose structural grade</t>
  </si>
  <si>
    <t xml:space="preserve">Most widely used high-strength structural steel</t>
  </si>
  <si>
    <t xml:space="preserve">EN 10025-3/-4 / EC3 (EN1993-1-1)</t>
  </si>
  <si>
    <t xml:space="preserve">Fine-grain normalized or thermomechanical</t>
  </si>
  <si>
    <t xml:space="preserve">EN 10025-2/-3/-4/-6 / EC3 (EN1993-1-1)</t>
  </si>
  <si>
    <t xml:space="preserve">High-strength; offshore &amp; bridge applications</t>
  </si>
  <si>
    <t xml:space="preserve">EN 10025-6 / EC3 (EN1993-1-1)</t>
  </si>
  <si>
    <t xml:space="preserve">Quenched &amp; tempered; ultra-high-strength</t>
  </si>
  <si>
    <t xml:space="preserve">EN 10088-4 / EC3 (EN1993-1-4)</t>
  </si>
  <si>
    <t xml:space="preserve">No defined yield point; Rp0.2 used; non-linear σ-ε curve</t>
  </si>
  <si>
    <t xml:space="preserve">Low-carbon variant; better weld zone corrosion resistance</t>
  </si>
  <si>
    <t xml:space="preserve">Mo addition → superior pitting/crevice corrosion resistance</t>
  </si>
  <si>
    <t xml:space="preserve">Low-carbon; standard for marine &amp; chemical plant</t>
  </si>
  <si>
    <t xml:space="preserve">Duplex; ~2× austenitic yield; excellent SCC resistance</t>
  </si>
  <si>
    <t xml:space="preserve">EN 573-3 / EN 485-2 / EC9 (EN1999-1-1)</t>
  </si>
  <si>
    <t xml:space="preserve">Highest-strength 6000 series; structural standard in Europe</t>
  </si>
  <si>
    <t xml:space="preserve">Slightly reduced for thicker plate; HAZ proof ~100 MPa</t>
  </si>
  <si>
    <t xml:space="preserve">EN 573-3 / EN 755-2 / EC9 (EN1999-1-1)</t>
  </si>
  <si>
    <t xml:space="preserve">Naturally aged; lower strength; good formability</t>
  </si>
  <si>
    <t xml:space="preserve">ASTM B209 / AMS 4027 / EC9 (EN1999-1-1)</t>
  </si>
  <si>
    <t xml:space="preserve">North American equivalent of 6082; slightly lower strength</t>
  </si>
  <si>
    <t xml:space="preserve">ASTM B209 / EC9 (EN1999-1-1)</t>
  </si>
  <si>
    <t xml:space="preserve">Solution treated, naturally aged</t>
  </si>
  <si>
    <t xml:space="preserve">Marine grade; excellent corrosion resistance; non-heat-treatable</t>
  </si>
  <si>
    <t xml:space="preserve">Architectural extrusion alloy; good surface finish</t>
  </si>
  <si>
    <t xml:space="preserve">EN 573-3 / EC9 (EN1999-1-1)</t>
  </si>
  <si>
    <t xml:space="preserve">Highest EC9-listed proof strength; defence / transport structures</t>
  </si>
  <si>
    <t xml:space="preserve">Spec. Strength
(MPa·m³/kg ×10⁻³)</t>
  </si>
  <si>
    <t xml:space="preserve">Spec. Stiffness
(GPa·m³/kg ×10⁻³)</t>
  </si>
  <si>
    <t xml:space="preserve">Relative Yield
(vs S275 = 1.00)</t>
  </si>
  <si>
    <t xml:space="preserve">Relative Stiffness
(vs S275 = 1.00)</t>
  </si>
  <si>
    <t xml:space="preserve">Corrosion Resistance</t>
  </si>
  <si>
    <t xml:space="preserve">Best Use Case</t>
  </si>
  <si>
    <t xml:space="preserve">Poor (paint/galv needed)</t>
  </si>
  <si>
    <t xml:space="preserve">General fabrication, purlins, secondary structure</t>
  </si>
  <si>
    <t xml:space="preserve">Reference grade — buildings, bridges, frames</t>
  </si>
  <si>
    <t xml:space="preserve">Heavy bridges, high-rise, offshore platforms</t>
  </si>
  <si>
    <t xml:space="preserve">Long-span bridges, crane booms, seismic zones</t>
  </si>
  <si>
    <t xml:space="preserve">Ultra-high-strength; mining &amp; heavy equipment</t>
  </si>
  <si>
    <t xml:space="preserve">Excellent (rural/urban)</t>
  </si>
  <si>
    <t xml:space="preserve">Architectural features, handrails, façades</t>
  </si>
  <si>
    <t xml:space="preserve">Excellent (marine/industrial)</t>
  </si>
  <si>
    <t xml:space="preserve">Coastal/marine structures, chemical plant</t>
  </si>
  <si>
    <t xml:space="preserve">Outstanding</t>
  </si>
  <si>
    <t xml:space="preserve">Offshore, desalination, high-load corrosive envs.</t>
  </si>
  <si>
    <t xml:space="preserve">Very Good</t>
  </si>
  <si>
    <t xml:space="preserve">Walkways, offshore decks, transportation, cranes</t>
  </si>
  <si>
    <t xml:space="preserve">Structural profiles, aerospace, general engineering</t>
  </si>
  <si>
    <t xml:space="preserve">Excellent (marine)</t>
  </si>
  <si>
    <t xml:space="preserve">Ship hulls, cryogenic tanks, marine structures</t>
  </si>
  <si>
    <t xml:space="preserve">Defence structures, bridges, transport vehicles</t>
  </si>
  <si>
    <t xml:space="preserve">TSA Industries — Full Product Range (Square · Rectangular · Round · Slotted)</t>
  </si>
  <si>
    <t xml:space="preserve">Navigate</t>
  </si>
  <si>
    <t xml:space="preserve">→ Go to sheet</t>
  </si>
  <si>
    <t xml:space="preserve">Square Tube — Stacked Sections</t>
  </si>
  <si>
    <t xml:space="preserve">◇</t>
  </si>
  <si>
    <t xml:space="preserve">Rectangular Tube — Stacked Sections</t>
  </si>
  <si>
    <t xml:space="preserve">Round Tube — Large Diameter Sections</t>
  </si>
  <si>
    <r>
      <rPr>
        <sz val="9"/>
        <color rgb="FF28251D"/>
        <rFont val="Calibri"/>
        <family val="0"/>
        <charset val="1"/>
      </rPr>
      <t xml:space="preserve">Shipbuild Flat (</t>
    </r>
    <r>
      <rPr>
        <sz val="9"/>
        <color rgb="FF28251D"/>
        <rFont val="Noto Sans CJK SC"/>
        <family val="2"/>
      </rPr>
      <t xml:space="preserve">扁鐵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</si>
  <si>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Equal Angles Bar (</t>
    </r>
    <r>
      <rPr>
        <sz val="9"/>
        <color rgb="FF28251D"/>
        <rFont val="Noto Sans CJK SC"/>
        <family val="2"/>
      </rPr>
      <t xml:space="preserve">角鐵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</si>
  <si>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Unequal Angle (</t>
    </r>
    <r>
      <rPr>
        <sz val="9"/>
        <color rgb="FF28251D"/>
        <rFont val="Noto Sans CJK SC"/>
        <family val="2"/>
      </rPr>
      <t xml:space="preserve">角鐵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</si>
  <si>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Lipped Channel (</t>
    </r>
    <r>
      <rPr>
        <sz val="9"/>
        <color rgb="FF28251D"/>
        <rFont val="Noto Sans CJK SC"/>
        <family val="2"/>
      </rPr>
      <t xml:space="preserve">輕皮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</si>
  <si>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Plain Channel C (C</t>
    </r>
    <r>
      <rPr>
        <sz val="9"/>
        <color rgb="FF28251D"/>
        <rFont val="Noto Sans CJK SC"/>
        <family val="2"/>
      </rPr>
      <t xml:space="preserve">輕型鐵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</si>
  <si>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Carbon Steel Pipe (</t>
    </r>
    <r>
      <rPr>
        <sz val="9"/>
        <color rgb="FF28251D"/>
        <rFont val="Noto Sans CJK SC"/>
        <family val="2"/>
      </rPr>
      <t xml:space="preserve">碳鋼管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</si>
  <si>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Welded Steel Pipe (</t>
    </r>
    <r>
      <rPr>
        <sz val="9"/>
        <color rgb="FF28251D"/>
        <rFont val="Noto Sans CJK SC"/>
        <family val="2"/>
      </rPr>
      <t xml:space="preserve">焊接鋼管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</si>
  <si>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Hot-Rolled Plates &amp; Sheets (</t>
    </r>
    <r>
      <rPr>
        <sz val="9"/>
        <color rgb="FF28251D"/>
        <rFont val="Noto Sans CJK SC"/>
        <family val="2"/>
      </rPr>
      <t xml:space="preserve">鐵板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</si>
  <si>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Chequered Plates (</t>
    </r>
    <r>
      <rPr>
        <sz val="9"/>
        <color rgb="FF28251D"/>
        <rFont val="Noto Sans CJK SC"/>
        <family val="2"/>
      </rPr>
      <t xml:space="preserve">花紋板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</si>
  <si>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Square Hollow Sections (</t>
    </r>
    <r>
      <rPr>
        <sz val="9"/>
        <color rgb="FF28251D"/>
        <rFont val="Noto Sans CJK SC"/>
        <family val="2"/>
      </rPr>
      <t xml:space="preserve">四方管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</si>
  <si>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Rectangular Hollow Sections (</t>
    </r>
    <r>
      <rPr>
        <sz val="9"/>
        <color rgb="FF28251D"/>
        <rFont val="Noto Sans CJK SC"/>
        <family val="2"/>
      </rPr>
      <t xml:space="preserve">扁管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</si>
  <si>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Channel (</t>
    </r>
    <r>
      <rPr>
        <sz val="9"/>
        <color rgb="FF28251D"/>
        <rFont val="Noto Sans CJK SC"/>
        <family val="2"/>
      </rPr>
      <t xml:space="preserve">槽鐵</t>
    </r>
    <r>
      <rPr>
        <sz val="9"/>
        <color rgb="FF28251D"/>
        <rFont val="Calibri"/>
        <family val="0"/>
        <charset val="1"/>
      </rPr>
      <t xml:space="preserve">) &amp; Deformed Bar</t>
    </r>
  </si>
  <si>
    <r>
      <rPr>
        <sz val="9"/>
        <color rgb="FF28251D"/>
        <rFont val="Calibri"/>
        <family val="0"/>
        <charset val="1"/>
      </rPr>
      <t xml:space="preserve">Wide Flange Shapes &amp; Tee Bar (</t>
    </r>
    <r>
      <rPr>
        <sz val="9"/>
        <color rgb="FF28251D"/>
        <rFont val="Noto Sans CJK SC"/>
        <family val="2"/>
      </rPr>
      <t xml:space="preserve">工字鐵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</si>
  <si>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Galvanized &amp; Electro-Galv Sheets (</t>
    </r>
    <r>
      <rPr>
        <sz val="9"/>
        <color rgb="FF28251D"/>
        <rFont val="Noto Sans CJK SC"/>
        <family val="2"/>
      </rPr>
      <t xml:space="preserve">砂喱板</t>
    </r>
    <r>
      <rPr>
        <sz val="9"/>
        <color rgb="FF28251D"/>
        <rFont val="Calibri"/>
        <family val="0"/>
        <charset val="1"/>
      </rPr>
      <t xml:space="preserve">)</t>
    </r>
  </si>
  <si>
    <r>
      <rPr>
        <b val="true"/>
        <sz val="14"/>
        <color rgb="FFFFFFFF"/>
        <rFont val="Calibri"/>
        <family val="0"/>
        <charset val="1"/>
      </rPr>
      <t xml:space="preserve">Shipbuild Flat </t>
    </r>
    <r>
      <rPr>
        <b val="true"/>
        <sz val="14"/>
        <color rgb="FFFFFFFF"/>
        <rFont val="Noto Sans CJK SC"/>
        <family val="2"/>
      </rPr>
      <t xml:space="preserve">扁鐵 — </t>
    </r>
    <r>
      <rPr>
        <b val="true"/>
        <sz val="14"/>
        <color rgb="FFFFFFFF"/>
        <rFont val="Calibri"/>
        <family val="0"/>
        <charset val="1"/>
      </rPr>
      <t xml:space="preserve">Unit Weight Table</t>
    </r>
  </si>
  <si>
    <r>
      <rPr>
        <b val="true"/>
        <sz val="14"/>
        <color rgb="FFFFFFFF"/>
        <rFont val="Calibri"/>
        <family val="0"/>
        <charset val="1"/>
      </rPr>
      <t xml:space="preserve">Equal Angles Bar </t>
    </r>
    <r>
      <rPr>
        <b val="true"/>
        <sz val="14"/>
        <color rgb="FFFFFFFF"/>
        <rFont val="Noto Sans CJK SC"/>
        <family val="2"/>
      </rPr>
      <t xml:space="preserve">角鐵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</si>
  <si>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Unequal Angle </t>
    </r>
    <r>
      <rPr>
        <b val="true"/>
        <sz val="14"/>
        <color rgb="FFFFFFFF"/>
        <rFont val="Noto Sans CJK SC"/>
        <family val="2"/>
      </rPr>
      <t xml:space="preserve">角鐵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</si>
  <si>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Lipped Channel </t>
    </r>
    <r>
      <rPr>
        <b val="true"/>
        <sz val="14"/>
        <color rgb="FFFFFFFF"/>
        <rFont val="Noto Sans CJK SC"/>
        <family val="2"/>
      </rPr>
      <t xml:space="preserve">輕皮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</si>
  <si>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Plain Channel C </t>
    </r>
    <r>
      <rPr>
        <b val="true"/>
        <sz val="14"/>
        <color rgb="FFFFFFFF"/>
        <rFont val="Noto Sans CJK SC"/>
        <family val="2"/>
      </rPr>
      <t xml:space="preserve">輕型鐵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</si>
  <si>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Carbon Steel Pipe </t>
    </r>
    <r>
      <rPr>
        <b val="true"/>
        <sz val="14"/>
        <color rgb="FFFFFFFF"/>
        <rFont val="Noto Sans CJK SC"/>
        <family val="2"/>
      </rPr>
      <t xml:space="preserve">普通碳鋼管 — </t>
    </r>
    <r>
      <rPr>
        <b val="true"/>
        <sz val="14"/>
        <color rgb="FFFFFFFF"/>
        <rFont val="Calibri"/>
        <family val="0"/>
        <charset val="1"/>
      </rPr>
      <t xml:space="preserve">Ordinary Pipe</t>
    </r>
  </si>
  <si>
    <t xml:space="preserve">Wall
(inch)</t>
  </si>
  <si>
    <t xml:space="preserve">kg/ft</t>
  </si>
  <si>
    <t xml:space="preserve">Test
(kPa)</t>
  </si>
  <si>
    <t xml:space="preserve">Test
(Psi)</t>
  </si>
  <si>
    <r>
      <rPr>
        <b val="true"/>
        <sz val="14"/>
        <color rgb="FFFFFFFF"/>
        <rFont val="Calibri"/>
        <family val="0"/>
        <charset val="1"/>
      </rPr>
      <t xml:space="preserve">Welded Steel Pipe </t>
    </r>
    <r>
      <rPr>
        <b val="true"/>
        <sz val="14"/>
        <color rgb="FFFFFFFF"/>
        <rFont val="Noto Sans CJK SC"/>
        <family val="2"/>
      </rPr>
      <t xml:space="preserve">焊接鋼管 — </t>
    </r>
    <r>
      <rPr>
        <b val="true"/>
        <sz val="14"/>
        <color rgb="FFFFFFFF"/>
        <rFont val="Calibri"/>
        <family val="0"/>
        <charset val="1"/>
      </rPr>
      <t xml:space="preserve">Class AA / A1 / Light / Medium / Heavy</t>
    </r>
  </si>
  <si>
    <t xml:space="preserve">OD Min
(in)</t>
  </si>
  <si>
    <t xml:space="preserve">Wall
(in)</t>
  </si>
  <si>
    <t xml:space="preserve">Class B/C Pipe</t>
  </si>
  <si>
    <t xml:space="preserve">T&amp;C Kg/m</t>
  </si>
  <si>
    <t xml:space="preserve">T&amp;C Kg/6m</t>
  </si>
  <si>
    <r>
      <rPr>
        <b val="true"/>
        <sz val="14"/>
        <color rgb="FFFFFFFF"/>
        <rFont val="Calibri"/>
        <family val="0"/>
        <charset val="1"/>
      </rPr>
      <t xml:space="preserve">Hot-Rolled Steel Plates &amp; Sheets </t>
    </r>
    <r>
      <rPr>
        <b val="true"/>
        <sz val="14"/>
        <color rgb="FFFFFFFF"/>
        <rFont val="Noto Sans CJK SC"/>
        <family val="2"/>
      </rPr>
      <t xml:space="preserve">鐵板</t>
    </r>
  </si>
  <si>
    <t xml:space="preserve">4'×16'
pc/mt</t>
  </si>
  <si>
    <t xml:space="preserve">5'×10'
1524×3048
Kg/pc</t>
  </si>
  <si>
    <t xml:space="preserve">5'×10'
pc/mt</t>
  </si>
  <si>
    <t xml:space="preserve">5'×20'
1524×6096
Kg/pc</t>
  </si>
  <si>
    <t xml:space="preserve">5'×20'
pc/mt</t>
  </si>
  <si>
    <r>
      <rPr>
        <b val="true"/>
        <sz val="14"/>
        <color rgb="FFFFFFFF"/>
        <rFont val="Calibri"/>
        <family val="0"/>
        <charset val="1"/>
      </rPr>
      <t xml:space="preserve">Chequered Plates </t>
    </r>
    <r>
      <rPr>
        <b val="true"/>
        <sz val="14"/>
        <color rgb="FFFFFFFF"/>
        <rFont val="Noto Sans CJK SC"/>
        <family val="2"/>
      </rPr>
      <t xml:space="preserve">花紋板 — </t>
    </r>
    <r>
      <rPr>
        <b val="true"/>
        <sz val="14"/>
        <color rgb="FFFFFFFF"/>
        <rFont val="Calibri"/>
        <family val="0"/>
        <charset val="1"/>
      </rPr>
      <t xml:space="preserve">Tread Plate Weight Table</t>
    </r>
  </si>
  <si>
    <r>
      <rPr>
        <b val="true"/>
        <sz val="14"/>
        <color rgb="FFFFFFFF"/>
        <rFont val="Calibri"/>
        <family val="0"/>
        <charset val="1"/>
      </rPr>
      <t xml:space="preserve">Square Hollow Sections </t>
    </r>
    <r>
      <rPr>
        <b val="true"/>
        <sz val="14"/>
        <color rgb="FFFFFFFF"/>
        <rFont val="Noto Sans CJK SC"/>
        <family val="2"/>
      </rPr>
      <t xml:space="preserve">四方管 — </t>
    </r>
    <r>
      <rPr>
        <b val="true"/>
        <sz val="14"/>
        <color rgb="FFFFFFFF"/>
        <rFont val="Calibri"/>
        <family val="0"/>
        <charset val="1"/>
      </rPr>
      <t xml:space="preserve">Wall Thickness &amp; Weight</t>
    </r>
  </si>
  <si>
    <r>
      <rPr>
        <b val="true"/>
        <sz val="14"/>
        <color rgb="FFFFFFFF"/>
        <rFont val="Calibri"/>
        <family val="0"/>
        <charset val="1"/>
      </rPr>
      <t xml:space="preserve">Rectangular Hollow Sections </t>
    </r>
    <r>
      <rPr>
        <b val="true"/>
        <sz val="14"/>
        <color rgb="FFFFFFFF"/>
        <rFont val="Noto Sans CJK SC"/>
        <family val="2"/>
      </rPr>
      <t xml:space="preserve">扁管 — </t>
    </r>
    <r>
      <rPr>
        <b val="true"/>
        <sz val="14"/>
        <color rgb="FFFFFFFF"/>
        <rFont val="Calibri"/>
        <family val="0"/>
        <charset val="1"/>
      </rPr>
      <t xml:space="preserve">Wall Thickness &amp; Weight</t>
    </r>
  </si>
  <si>
    <r>
      <rPr>
        <b val="true"/>
        <sz val="14"/>
        <color rgb="FFFFFFFF"/>
        <rFont val="Calibri"/>
        <family val="0"/>
        <charset val="1"/>
      </rPr>
      <t xml:space="preserve">Square Bar / Round Bar / Hexagonal Bar </t>
    </r>
    <r>
      <rPr>
        <b val="true"/>
        <sz val="14"/>
        <color rgb="FFFFFFFF"/>
        <rFont val="Noto Sans CJK SC"/>
        <family val="2"/>
      </rPr>
      <t xml:space="preserve">四方鐵 </t>
    </r>
    <r>
      <rPr>
        <b val="true"/>
        <sz val="14"/>
        <color rgb="FFFFFFFF"/>
        <rFont val="Calibri"/>
        <family val="0"/>
        <charset val="1"/>
      </rPr>
      <t xml:space="preserve">/ </t>
    </r>
    <r>
      <rPr>
        <b val="true"/>
        <sz val="14"/>
        <color rgb="FFFFFFFF"/>
        <rFont val="Noto Sans CJK SC"/>
        <family val="2"/>
      </rPr>
      <t xml:space="preserve">圓鐵 </t>
    </r>
    <r>
      <rPr>
        <b val="true"/>
        <sz val="14"/>
        <color rgb="FFFFFFFF"/>
        <rFont val="Calibri"/>
        <family val="0"/>
        <charset val="1"/>
      </rPr>
      <t xml:space="preserve">/ </t>
    </r>
    <r>
      <rPr>
        <b val="true"/>
        <sz val="14"/>
        <color rgb="FFFFFFFF"/>
        <rFont val="Noto Sans CJK SC"/>
        <family val="2"/>
      </rPr>
      <t xml:space="preserve">六角白車芯</t>
    </r>
  </si>
  <si>
    <r>
      <rPr>
        <b val="true"/>
        <sz val="9"/>
        <color rgb="FFFFFFFF"/>
        <rFont val="Calibri"/>
        <family val="0"/>
        <charset val="1"/>
      </rPr>
      <t xml:space="preserve">SQUARE BAR </t>
    </r>
    <r>
      <rPr>
        <b val="true"/>
        <sz val="9"/>
        <color rgb="FFFFFFFF"/>
        <rFont val="Noto Sans CJK SC"/>
        <family val="2"/>
      </rPr>
      <t xml:space="preserve">四方鐵</t>
    </r>
  </si>
  <si>
    <t xml:space="preserve">Round Bar</t>
  </si>
  <si>
    <t xml:space="preserve">Hexagonal Bar</t>
  </si>
  <si>
    <r>
      <rPr>
        <b val="true"/>
        <sz val="9"/>
        <color rgb="FFFFFFFF"/>
        <rFont val="Calibri"/>
        <family val="0"/>
        <charset val="1"/>
      </rPr>
      <t xml:space="preserve">ROUND BAR </t>
    </r>
    <r>
      <rPr>
        <b val="true"/>
        <sz val="9"/>
        <color rgb="FFFFFFFF"/>
        <rFont val="Noto Sans CJK SC"/>
        <family val="2"/>
      </rPr>
      <t xml:space="preserve">圓鐵</t>
    </r>
  </si>
  <si>
    <r>
      <rPr>
        <b val="true"/>
        <sz val="9"/>
        <color rgb="FFFFFFFF"/>
        <rFont val="Calibri"/>
        <family val="0"/>
        <charset val="1"/>
      </rPr>
      <t xml:space="preserve">COLD DRAWING BRIGHT HEXAGONAL BAR </t>
    </r>
    <r>
      <rPr>
        <b val="true"/>
        <sz val="9"/>
        <color rgb="FFFFFFFF"/>
        <rFont val="Noto Sans CJK SC"/>
        <family val="2"/>
      </rPr>
      <t xml:space="preserve">六角白車芯</t>
    </r>
  </si>
  <si>
    <r>
      <rPr>
        <b val="true"/>
        <sz val="14"/>
        <color rgb="FFFFFFFF"/>
        <rFont val="Calibri"/>
        <family val="0"/>
        <charset val="1"/>
      </rPr>
      <t xml:space="preserve">Channel </t>
    </r>
    <r>
      <rPr>
        <b val="true"/>
        <sz val="14"/>
        <color rgb="FFFFFFFF"/>
        <rFont val="Noto Sans CJK SC"/>
        <family val="2"/>
      </rPr>
      <t xml:space="preserve">槽鐵 </t>
    </r>
    <r>
      <rPr>
        <b val="true"/>
        <sz val="14"/>
        <color rgb="FFFFFFFF"/>
        <rFont val="Calibri"/>
        <family val="0"/>
        <charset val="1"/>
      </rPr>
      <t xml:space="preserve">&amp; Deformed Bar </t>
    </r>
    <r>
      <rPr>
        <b val="true"/>
        <sz val="14"/>
        <color rgb="FFFFFFFF"/>
        <rFont val="Noto Sans CJK SC"/>
        <family val="2"/>
      </rPr>
      <t xml:space="preserve">竹節鐵</t>
    </r>
  </si>
  <si>
    <r>
      <rPr>
        <b val="true"/>
        <sz val="9"/>
        <color rgb="FFFFFFFF"/>
        <rFont val="Calibri"/>
        <family val="0"/>
        <charset val="1"/>
      </rPr>
      <t xml:space="preserve">CHANNEL </t>
    </r>
    <r>
      <rPr>
        <b val="true"/>
        <sz val="9"/>
        <color rgb="FFFFFFFF"/>
        <rFont val="Noto Sans CJK SC"/>
        <family val="2"/>
      </rPr>
      <t xml:space="preserve">槽鐵 — </t>
    </r>
    <r>
      <rPr>
        <b val="true"/>
        <sz val="9"/>
        <color rgb="FFFFFFFF"/>
        <rFont val="Calibri"/>
        <family val="0"/>
        <charset val="1"/>
      </rPr>
      <t xml:space="preserve">Dimensions D×B (mm), Web T1, Flange T2, Unit Weight</t>
    </r>
  </si>
  <si>
    <t xml:space="preserve">Deformed (Rebar) Bar</t>
  </si>
  <si>
    <r>
      <rPr>
        <b val="true"/>
        <sz val="9"/>
        <color rgb="FFFFFFFF"/>
        <rFont val="Calibri"/>
        <family val="0"/>
        <charset val="1"/>
      </rPr>
      <t xml:space="preserve">DEFORMED BAR </t>
    </r>
    <r>
      <rPr>
        <b val="true"/>
        <sz val="9"/>
        <color rgb="FFFFFFFF"/>
        <rFont val="Noto Sans CJK SC"/>
        <family val="2"/>
      </rPr>
      <t xml:space="preserve">竹節鐵 — </t>
    </r>
    <r>
      <rPr>
        <b val="true"/>
        <sz val="9"/>
        <color rgb="FFFFFFFF"/>
        <rFont val="Calibri"/>
        <family val="0"/>
        <charset val="1"/>
      </rPr>
      <t xml:space="preserve">Nominal Diameter, Section Area, Unit Weight</t>
    </r>
  </si>
  <si>
    <r>
      <rPr>
        <b val="true"/>
        <sz val="14"/>
        <color rgb="FFFFFFFF"/>
        <rFont val="Calibri"/>
        <family val="0"/>
        <charset val="1"/>
      </rPr>
      <t xml:space="preserve">Wide Flange Shapes </t>
    </r>
    <r>
      <rPr>
        <b val="true"/>
        <sz val="14"/>
        <color rgb="FFFFFFFF"/>
        <rFont val="Noto Sans CJK SC"/>
        <family val="2"/>
      </rPr>
      <t xml:space="preserve">工字鐵 </t>
    </r>
    <r>
      <rPr>
        <b val="true"/>
        <sz val="14"/>
        <color rgb="FFFFFFFF"/>
        <rFont val="Calibri"/>
        <family val="0"/>
        <charset val="1"/>
      </rPr>
      <t xml:space="preserve">&amp; Mild Steel Tee Bar T</t>
    </r>
    <r>
      <rPr>
        <b val="true"/>
        <sz val="14"/>
        <color rgb="FFFFFFFF"/>
        <rFont val="Noto Sans CJK SC"/>
        <family val="2"/>
      </rPr>
      <t xml:space="preserve">字鐵</t>
    </r>
  </si>
  <si>
    <t xml:space="preserve">Flange b
(mm)</t>
  </si>
  <si>
    <t xml:space="preserve">Flange t1
(mm)</t>
  </si>
  <si>
    <t xml:space="preserve">Web tw
(mm)</t>
  </si>
  <si>
    <r>
      <rPr>
        <b val="true"/>
        <sz val="9"/>
        <color rgb="FFFFFFFF"/>
        <rFont val="Calibri"/>
        <family val="0"/>
        <charset val="1"/>
      </rPr>
      <t xml:space="preserve">MILD STEEL TEE BAR </t>
    </r>
    <r>
      <rPr>
        <b val="true"/>
        <sz val="9"/>
        <color rgb="FFFFFFFF"/>
        <rFont val="Noto Sans CJK SC"/>
        <family val="2"/>
      </rPr>
      <t xml:space="preserve">丅字鐵</t>
    </r>
  </si>
  <si>
    <t xml:space="preserve">Mild Steel Tee Bar</t>
  </si>
  <si>
    <r>
      <rPr>
        <b val="true"/>
        <sz val="14"/>
        <color rgb="FFFFFFFF"/>
        <rFont val="Calibri"/>
        <family val="0"/>
        <charset val="1"/>
      </rPr>
      <t xml:space="preserve">Galvanized Sheets </t>
    </r>
    <r>
      <rPr>
        <b val="true"/>
        <sz val="14"/>
        <color rgb="FFFFFFFF"/>
        <rFont val="Noto Sans CJK SC"/>
        <family val="2"/>
      </rPr>
      <t xml:space="preserve">砂喱板 </t>
    </r>
    <r>
      <rPr>
        <b val="true"/>
        <sz val="14"/>
        <color rgb="FFFFFFFF"/>
        <rFont val="Calibri"/>
        <family val="0"/>
        <charset val="1"/>
      </rPr>
      <t xml:space="preserve">&amp; Floor Grating </t>
    </r>
    <r>
      <rPr>
        <b val="true"/>
        <sz val="14"/>
        <color rgb="FFFFFFFF"/>
        <rFont val="Noto Sans CJK SC"/>
        <family val="2"/>
      </rPr>
      <t xml:space="preserve">脚踏板</t>
    </r>
  </si>
  <si>
    <t xml:space="preserve">Z22/Z25
lb/pc</t>
  </si>
  <si>
    <t xml:space="preserve">Z22/Z25
pcs/mt</t>
  </si>
  <si>
    <t xml:space="preserve">Z27
Kg/pc</t>
  </si>
  <si>
    <t xml:space="preserve">Z27
lb/pc</t>
  </si>
  <si>
    <t xml:space="preserve">Z27
pcs/mt</t>
  </si>
  <si>
    <t xml:space="preserve">Floor Grating</t>
  </si>
  <si>
    <t xml:space="preserve">Serrated Bar</t>
  </si>
  <si>
    <r>
      <rPr>
        <b val="true"/>
        <sz val="9"/>
        <color rgb="FFFFFFFF"/>
        <rFont val="Calibri"/>
        <family val="0"/>
        <charset val="1"/>
      </rPr>
      <t xml:space="preserve">FLOOR GRATING </t>
    </r>
    <r>
      <rPr>
        <b val="true"/>
        <sz val="9"/>
        <color rgb="FFFFFFFF"/>
        <rFont val="Noto Sans CJK SC"/>
        <family val="2"/>
      </rPr>
      <t xml:space="preserve">脚踏板 — </t>
    </r>
    <r>
      <rPr>
        <b val="true"/>
        <sz val="9"/>
        <color rgb="FFFFFFFF"/>
        <rFont val="Calibri"/>
        <family val="0"/>
        <charset val="1"/>
      </rPr>
      <t xml:space="preserve">Serrated/Plain Series 2</t>
    </r>
  </si>
  <si>
    <t xml:space="preserve">5mm Load
Bars (mm)</t>
  </si>
  <si>
    <t xml:space="preserve">No. of
Cross Bar</t>
  </si>
  <si>
    <t xml:space="preserve">5mm Cross
Bars (mm)</t>
  </si>
  <si>
    <t xml:space="preserve">Total Weight
(kg)</t>
  </si>
  <si>
    <t xml:space="preserve">Total Weight
(tonnes)</t>
  </si>
  <si>
    <t xml:space="preserve">Cost / MPa-yield
($/kg per MPa)</t>
  </si>
  <si>
    <t xml:space="preserve">Relative Cost
(vs MS S275)</t>
  </si>
  <si>
    <t xml:space="preserve">Qty</t>
  </si>
  <si>
    <t xml:space="preserve">Cost per
Piece ($)</t>
  </si>
  <si>
    <t xml:space="preserve">Total Cost ($)</t>
  </si>
  <si>
    <t xml:space="preserve">Material
Difference</t>
  </si>
  <si>
    <t xml:space="preserve">MS Yield
(MPa)</t>
  </si>
  <si>
    <t xml:space="preserve">SS304 Proof
(MPa)</t>
  </si>
  <si>
    <t xml:space="preserve">Strength
Ratio</t>
  </si>
  <si>
    <t xml:space="preserve">SS lighter at same wall</t>
  </si>
  <si>
    <t xml:space="preserve">MS: S275 (275 MPa) vs SS304 (210 MPa)</t>
  </si>
  <si>
    <t xml:space="preserve">MS stronger per MPa, SS corrosion-resistant</t>
  </si>
  <si>
    <t xml:space="preserve">Common comparison size</t>
  </si>
  <si>
    <t xml:space="preserve">For structural comparison</t>
  </si>
  <si>
    <t xml:space="preserve">Heavy structural section</t>
  </si>
  <si>
    <t xml:space="preserve">Large structural section</t>
  </si>
  <si>
    <t xml:space="preserve">Smallest common overlap</t>
  </si>
  <si>
    <t xml:space="preserve">Light-duty framing</t>
  </si>
  <si>
    <t xml:space="preserve">Standard frame size</t>
  </si>
  <si>
    <t xml:space="preserve">Medium structural</t>
  </si>
  <si>
    <t xml:space="preserve">Heavy frame/purlin</t>
  </si>
  <si>
    <t xml:space="preserve">Large structural beam</t>
  </si>
  <si>
    <t xml:space="preserve">To</t>
  </si>
  <si>
    <t xml:space="preserve">lb</t>
  </si>
  <si>
    <t xml:space="preserve">psi</t>
  </si>
  <si>
    <t xml:space="preserve">psf (lb/ft²)</t>
  </si>
  <si>
    <t xml:space="preserve">lb·ft</t>
  </si>
  <si>
    <t xml:space="preserve">in²</t>
  </si>
  <si>
    <t xml:space="preserve">in⁴</t>
  </si>
  <si>
    <t xml:space="preserve">Drill Depth
h₁ Red (mm)</t>
  </si>
  <si>
    <t xml:space="preserve">Torque gvz
(Nm)</t>
  </si>
  <si>
    <t xml:space="preserve">Torque A4
(Nm)</t>
  </si>
  <si>
    <t xml:space="preserve">Wrench
SW (mm)</t>
  </si>
  <si>
    <t xml:space="preserve">Clearance
df ≤ (mm)</t>
  </si>
  <si>
    <t xml:space="preserve">NRd Total
gvz (kN)</t>
  </si>
  <si>
    <t xml:space="preserve">NRd Total
A4 (kN)</t>
  </si>
  <si>
    <t xml:space="preserve">Nperm gvz
(kN)</t>
  </si>
  <si>
    <t xml:space="preserve">Nperm A4
(kN)</t>
  </si>
  <si>
    <t xml:space="preserve">Pryout k
Factor</t>
  </si>
  <si>
    <t xml:space="preserve">scr,sp
(mm)</t>
  </si>
  <si>
    <t xml:space="preserve">ccr,sp
(mm)</t>
  </si>
  <si>
    <t xml:space="preserve">smin
(mm)</t>
  </si>
  <si>
    <t xml:space="preserve">cmin
(mm)</t>
  </si>
  <si>
    <t xml:space="preserve">tfix at hef,red
(mm)</t>
  </si>
  <si>
    <t xml:space="preserve">Torque
(Nm)</t>
  </si>
  <si>
    <t xml:space="preserve">VRd,s eq
A4 (kN)</t>
  </si>
  <si>
    <t xml:space="preserve">Category C1 all sizes M8–M24</t>
  </si>
  <si>
    <t xml:space="preserve">C2 for M10–M20 only</t>
  </si>
  <si>
    <t xml:space="preserve">Higher hef required for C2</t>
  </si>
  <si>
    <t xml:space="preserve">C1 only for M24</t>
  </si>
  <si>
    <t xml:space="preserve">NRd,fi R120
(kN)</t>
  </si>
  <si>
    <t xml:space="preserve">HCR
(1.4529)</t>
  </si>
  <si>
    <t xml:space="preserve">hef,min
(mm)</t>
  </si>
  <si>
    <t xml:space="preserve">hef,max
(mm)</t>
  </si>
  <si>
    <t xml:space="preserve">+40°C</t>
  </si>
  <si>
    <t xml:space="preserve">NRd,bond
(kN)</t>
  </si>
  <si>
    <t xml:space="preserve">Torque SK
(Nm)</t>
  </si>
  <si>
    <t xml:space="preserve">VRd Total
(kN)</t>
  </si>
  <si>
    <t xml:space="preserve">Required
Tool</t>
  </si>
  <si>
    <t xml:space="preserve">FZUB 12 + FZE Plus</t>
  </si>
  <si>
    <t xml:space="preserve">FZUB 14 + FZE Plus</t>
  </si>
  <si>
    <t xml:space="preserve">FZUB 18 + FZE Plus</t>
  </si>
  <si>
    <t xml:space="preserve">FZUB 25 + FZE Plus</t>
  </si>
  <si>
    <t xml:space="preserve">N⁰Rd,c NC
(kN)</t>
  </si>
  <si>
    <t xml:space="preserve">Simplified setting — hammer + tool</t>
  </si>
  <si>
    <t xml:space="preserve">Internal thread version available</t>
  </si>
  <si>
    <t xml:space="preserve">Max fixture thickness 15–30 mm</t>
  </si>
  <si>
    <t xml:space="preserve">Max Load
Hollow (kN)</t>
  </si>
  <si>
    <t xml:space="preserve">Substrates</t>
  </si>
  <si>
    <t xml:space="preserve">Concrete, brick, hollow, plasterboard</t>
  </si>
  <si>
    <t xml:space="preserve">All substrates — most popular size</t>
  </si>
  <si>
    <t xml:space="preserve">Deep embedment for heavy hollow walls</t>
  </si>
  <si>
    <t xml:space="preserve">All substrates</t>
  </si>
  <si>
    <t xml:space="preserve">Deep embedment / thick render</t>
  </si>
  <si>
    <t xml:space="preserve">Heavy-duty general purpose</t>
  </si>
  <si>
    <t xml:space="preserve">Deep embedment for heavy loads</t>
  </si>
  <si>
    <t xml:space="preserve">Heavy installations, TV mounts</t>
  </si>
  <si>
    <t xml:space="preserve">Heaviest DuoPower size</t>
  </si>
  <si>
    <t xml:space="preserve">Light fittings — shelves, pictures</t>
  </si>
  <si>
    <t xml:space="preserve">Medium loads — cabinets, curtain rails</t>
  </si>
  <si>
    <t xml:space="preserve">General purpose — heavy shelves, brackets</t>
  </si>
  <si>
    <t xml:space="preserve">Heavy duty — boilers, handrails</t>
  </si>
  <si>
    <t xml:space="preserve">Very heavy — steel constructions</t>
  </si>
  <si>
    <t xml:space="preserve">Heaviest SX — structural connections</t>
  </si>
  <si>
    <t xml:space="preserve">Max Tension
(kN)</t>
  </si>
  <si>
    <t xml:space="preserve">Window frames, door frames, battens</t>
  </si>
  <si>
    <t xml:space="preserve">Heavy window/door frames, façade rails</t>
  </si>
  <si>
    <t xml:space="preserve">Extra-long for thick insulation layers</t>
  </si>
  <si>
    <t xml:space="preserve">Thick insulated façade systems</t>
  </si>
  <si>
    <t xml:space="preserve">Cable clips, conduit straps — fastest install</t>
  </si>
  <si>
    <t xml:space="preserve">Through thick fixtures</t>
  </si>
  <si>
    <t xml:space="preserve">Deep set for renders/screeds</t>
  </si>
  <si>
    <t xml:space="preserve">Timber battens, light steel framing</t>
  </si>
  <si>
    <t xml:space="preserve">Standard nail anchor — most used size</t>
  </si>
  <si>
    <t xml:space="preserve">Thick fixtures / deep render</t>
  </si>
  <si>
    <t xml:space="preserve">Heavy battens, ducting clips</t>
  </si>
  <si>
    <t xml:space="preserve">Through thick insulation + batten</t>
  </si>
  <si>
    <t xml:space="preserve">Extra-long for composite wall build-ups</t>
  </si>
  <si>
    <t xml:space="preserve">VRd,s
(kN)</t>
  </si>
  <si>
    <t xml:space="preserve">Fire Rating</t>
  </si>
  <si>
    <t xml:space="preserve">R120</t>
  </si>
  <si>
    <t xml:space="preserve">Non-cracked concrete ONLY</t>
  </si>
  <si>
    <t xml:space="preserve">Quick install — hammer set</t>
  </si>
  <si>
    <t xml:space="preserve">No torque required</t>
  </si>
  <si>
    <t xml:space="preserve">Internal thread for bolt-in</t>
  </si>
  <si>
    <t xml:space="preserve">Heavy duty — machinery bases</t>
  </si>
  <si>
    <t xml:space="preserve">Largest EA II size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</si>
</sst>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#,##0"/>
    <numFmt numFmtId="167" formatCode="0.00"/>
    <numFmt numFmtId="168" formatCode="0.000"/>
    <numFmt numFmtId="169" formatCode="#,##0.000"/>
    <numFmt numFmtId="170" formatCode="#,##0.0"/>
    <numFmt numFmtId="171" formatCode="\$#,##0.00"/>
    <numFmt numFmtId="172" formatCode="\$0.0000"/>
    <numFmt numFmtId="173" formatCode="0.00\x"/>
    <numFmt numFmtId="174" formatCode="0.0000"/>
    <numFmt numFmtId="175" formatCode="0.0%"/>
  </numFmts>
  <fonts count="1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3A5C"/>
      <name val="Calibri"/>
      <family val="0"/>
      <charset val="1"/>
    </font>
    <font>
      <sz val="10"/>
      <color rgb="FF666666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4"/>
      <color rgb="FF0000FF"/>
      <name val="Cambria"/>
      <family val="0"/>
      <charset val="1"/>
    </font>
    <font>
      <i val="true"/>
      <sz val="10"/>
      <color rgb="FF7A7974"/>
      <name val="Cambria"/>
      <family val="0"/>
      <charset val="1"/>
    </font>
    <font>
      <b val="true"/>
      <sz val="10"/>
      <name val="Calibri"/>
      <family val="0"/>
      <charset val="1"/>
    </font>
    <font>
      <b val="true"/>
      <sz val="14"/>
      <color rgb="FF0000FF"/>
      <name val="Calibri"/>
      <family val="0"/>
      <charset val="1"/>
    </font>
    <font>
      <u val="single"/>
      <sz val="11"/>
      <color rgb="FF0000FF"/>
      <name val="Cambria"/>
      <family val="0"/>
      <charset val="1"/>
    </font>
    <font>
      <sz val="11"/>
      <name val="Cambria"/>
      <family val="0"/>
      <charset val="1"/>
    </font>
    <font>
      <b val="true"/>
      <sz val="14"/>
      <color rgb="FF1F3864"/>
      <name val="Cambria"/>
      <family val="0"/>
      <charset val="1"/>
    </font>
    <font>
      <i val="true"/>
      <sz val="10"/>
      <color rgb="FF595959"/>
      <name val="Calibri"/>
      <family val="0"/>
      <charset val="1"/>
    </font>
    <font>
      <b val="true"/>
      <u val="single"/>
      <sz val="12"/>
      <color rgb="FF0563C1"/>
      <name val="Calibri"/>
      <family val="0"/>
      <charset val="1"/>
    </font>
    <font>
      <sz val="10"/>
      <color rgb="FF595959"/>
      <name val="Calibri"/>
      <family val="0"/>
      <charset val="1"/>
    </font>
    <font>
      <b val="true"/>
      <sz val="12"/>
      <color rgb="FF1F3864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28251D"/>
      <name val="Cambria"/>
      <family val="0"/>
      <charset val="1"/>
    </font>
    <font>
      <sz val="10"/>
      <name val="Calibri"/>
      <family val="0"/>
      <charset val="1"/>
    </font>
    <font>
      <u val="single"/>
      <sz val="10"/>
      <color rgb="FF0563C1"/>
      <name val="Calibri"/>
      <family val="0"/>
      <charset val="1"/>
    </font>
    <font>
      <b val="true"/>
      <sz val="16"/>
      <color rgb="FF1F3864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0"/>
      <color rgb="FF1F3864"/>
      <name val="Calibri"/>
      <family val="0"/>
      <charset val="1"/>
    </font>
    <font>
      <sz val="10"/>
      <color rgb="FF222222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14"/>
      <color rgb="FFDA770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0"/>
      <name val="Cambria"/>
      <family val="0"/>
      <charset val="1"/>
    </font>
    <font>
      <sz val="11"/>
      <color theme="1"/>
      <name val="Noto Sans CJK SC"/>
      <family val="2"/>
    </font>
    <font>
      <b val="true"/>
      <sz val="16"/>
      <color rgb="FF1B3A5C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u val="single"/>
      <sz val="11"/>
      <color rgb="FF0000FF"/>
      <name val="Calibri"/>
      <family val="0"/>
      <charset val="1"/>
    </font>
    <font>
      <u val="single"/>
      <sz val="10"/>
      <color rgb="FF0000FF"/>
      <name val="Calibri"/>
      <family val="0"/>
      <charset val="1"/>
    </font>
    <font>
      <sz val="9"/>
      <name val="Calibri"/>
      <family val="0"/>
      <charset val="1"/>
    </font>
    <font>
      <b val="true"/>
      <sz val="18"/>
      <color rgb="FF1B3A5C"/>
      <name val="Calibri"/>
      <family val="0"/>
      <charset val="1"/>
    </font>
    <font>
      <i val="true"/>
      <sz val="11"/>
      <color rgb="FF7A7974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8"/>
      <color rgb="FF7A7974"/>
      <name val="Calibri"/>
      <family val="0"/>
      <charset val="1"/>
    </font>
    <font>
      <b val="true"/>
      <sz val="12"/>
      <color rgb="FF20808D"/>
      <name val="Calibri"/>
      <family val="0"/>
      <charset val="1"/>
    </font>
    <font>
      <b val="true"/>
      <sz val="12"/>
      <color rgb="FF1B474D"/>
      <name val="Calibri"/>
      <family val="0"/>
      <charset val="1"/>
    </font>
    <font>
      <b val="true"/>
      <sz val="12"/>
      <color rgb="FFA84B2F"/>
      <name val="Calibri"/>
      <family val="0"/>
      <charset val="1"/>
    </font>
    <font>
      <b val="true"/>
      <sz val="12"/>
      <color rgb="FF944454"/>
      <name val="Calibri"/>
      <family val="0"/>
      <charset val="1"/>
    </font>
    <font>
      <b val="true"/>
      <sz val="12"/>
      <color rgb="FFDA7101"/>
      <name val="Calibri"/>
      <family val="0"/>
      <charset val="1"/>
    </font>
    <font>
      <b val="true"/>
      <sz val="12"/>
      <color rgb="FF7A39BB"/>
      <name val="Calibri"/>
      <family val="0"/>
      <charset val="1"/>
    </font>
    <font>
      <b val="true"/>
      <sz val="10"/>
      <color rgb="FF28251D"/>
      <name val="Calibri"/>
      <family val="0"/>
      <charset val="1"/>
    </font>
    <font>
      <sz val="8"/>
      <color rgb="FF28251D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0"/>
      <color rgb="FF1B3A5C"/>
      <name val="Calibri"/>
      <family val="0"/>
      <charset val="1"/>
    </font>
    <font>
      <u val="single"/>
      <sz val="10"/>
      <color rgb="FF20808D"/>
      <name val="Calibri"/>
      <family val="0"/>
      <charset val="1"/>
    </font>
    <font>
      <i val="true"/>
      <sz val="8"/>
      <color rgb="FF7A7974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sz val="10"/>
      <color rgb="FF28251D"/>
      <name val="Calibri"/>
      <family val="0"/>
      <charset val="1"/>
    </font>
    <font>
      <sz val="10"/>
      <color rgb="FF7A7974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237A4A"/>
      <name val="Calibri"/>
      <family val="0"/>
      <charset val="1"/>
    </font>
    <font>
      <sz val="11"/>
      <color rgb="FF7A7974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sz val="9"/>
      <color rgb="FF28251D"/>
      <name val="Calibri"/>
      <family val="0"/>
      <charset val="1"/>
    </font>
    <font>
      <b val="true"/>
      <sz val="12"/>
      <color rgb="FF2C3E5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20808D"/>
      <name val="Calibri"/>
      <family val="0"/>
      <charset val="1"/>
    </font>
    <font>
      <sz val="9"/>
      <color rgb="FF7A7974"/>
      <name val="Calibri"/>
      <family val="0"/>
      <charset val="1"/>
    </font>
    <font>
      <b val="true"/>
      <sz val="10"/>
      <color rgb="FF1B474D"/>
      <name val="Calibri"/>
      <family val="0"/>
      <charset val="1"/>
    </font>
    <font>
      <b val="true"/>
      <sz val="10"/>
      <color rgb="FFA84B2F"/>
      <name val="Calibri"/>
      <family val="0"/>
      <charset val="1"/>
    </font>
    <font>
      <b val="true"/>
      <sz val="10"/>
      <color rgb="FF944454"/>
      <name val="Calibri"/>
      <family val="0"/>
      <charset val="1"/>
    </font>
    <font>
      <b val="true"/>
      <sz val="10"/>
      <color rgb="FFDA7101"/>
      <name val="Calibri"/>
      <family val="0"/>
      <charset val="1"/>
    </font>
    <font>
      <b val="true"/>
      <sz val="10"/>
      <color rgb="FF7A39BB"/>
      <name val="Calibri"/>
      <family val="0"/>
      <charset val="1"/>
    </font>
    <font>
      <b val="true"/>
      <sz val="10"/>
      <color rgb="FF2E7D9A"/>
      <name val="Calibri"/>
      <family val="0"/>
      <charset val="1"/>
    </font>
    <font>
      <b val="true"/>
      <sz val="10"/>
      <color rgb="FF888888"/>
      <name val="Calibri"/>
      <family val="0"/>
      <charset val="1"/>
    </font>
    <font>
      <b val="true"/>
      <sz val="10"/>
      <color rgb="FF1B5E71"/>
      <name val="Calibri"/>
      <family val="0"/>
      <charset val="1"/>
    </font>
    <font>
      <b val="true"/>
      <sz val="10"/>
      <color rgb="FFE07B00"/>
      <name val="Calibri"/>
      <family val="0"/>
      <charset val="1"/>
    </font>
    <font>
      <b val="true"/>
      <sz val="10"/>
      <color rgb="FFF0A040"/>
      <name val="Calibri"/>
      <family val="0"/>
      <charset val="1"/>
    </font>
    <font>
      <b val="true"/>
      <sz val="10"/>
      <color rgb="FFC85A00"/>
      <name val="Calibri"/>
      <family val="0"/>
      <charset val="1"/>
    </font>
    <font>
      <b val="true"/>
      <sz val="10"/>
      <color rgb="FFE08030"/>
      <name val="Calibri"/>
      <family val="0"/>
      <charset val="1"/>
    </font>
    <font>
      <b val="true"/>
      <sz val="10"/>
      <color rgb="FF8B6914"/>
      <name val="Calibri"/>
      <family val="0"/>
      <charset val="1"/>
    </font>
    <font>
      <b val="true"/>
      <sz val="10"/>
      <color rgb="FFBF8C40"/>
      <name val="Calibri"/>
      <family val="0"/>
      <charset val="1"/>
    </font>
    <font>
      <b val="true"/>
      <sz val="9"/>
      <color rgb="FF28251D"/>
      <name val="Calibri"/>
      <family val="0"/>
      <charset val="1"/>
    </font>
    <font>
      <sz val="9"/>
      <color rgb="FF0000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u val="single"/>
      <sz val="9"/>
      <color rgb="FF20808D"/>
      <name val="Calibri"/>
      <family val="0"/>
      <charset val="1"/>
    </font>
    <font>
      <b val="true"/>
      <sz val="14"/>
      <color rgb="FF2C3E50"/>
      <name val="Calibri"/>
      <family val="0"/>
      <charset val="1"/>
    </font>
    <font>
      <b val="true"/>
      <sz val="9"/>
      <color rgb="FF2C3E50"/>
      <name val="Calibri"/>
      <family val="0"/>
      <charset val="1"/>
    </font>
    <font>
      <b val="true"/>
      <sz val="10"/>
      <color rgb="FF1B6B3A"/>
      <name val="Calibri"/>
      <family val="0"/>
      <charset val="1"/>
    </font>
    <font>
      <b val="true"/>
      <sz val="10"/>
      <color rgb="FF8B4513"/>
      <name val="Calibri"/>
      <family val="0"/>
      <charset val="1"/>
    </font>
    <font>
      <i val="true"/>
      <sz val="9"/>
      <color rgb="FF28251D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u val="single"/>
      <sz val="9"/>
      <color rgb="FFFFFFFF"/>
      <name val="Calibri"/>
      <family val="0"/>
      <charset val="1"/>
    </font>
    <font>
      <sz val="9"/>
      <color rgb="FF28251D"/>
      <name val="Noto Sans CJK SC"/>
      <family val="2"/>
    </font>
    <font>
      <i val="true"/>
      <sz val="7"/>
      <color rgb="FF7A7974"/>
      <name val="Calibri"/>
      <family val="0"/>
      <charset val="1"/>
    </font>
    <font>
      <b val="true"/>
      <sz val="14"/>
      <color rgb="FFFFFFFF"/>
      <name val="Noto Sans CJK SC"/>
      <family val="2"/>
    </font>
    <font>
      <sz val="8"/>
      <color rgb="FF0000FF"/>
      <name val="Calibri"/>
      <family val="0"/>
      <charset val="1"/>
    </font>
    <font>
      <b val="true"/>
      <sz val="7"/>
      <color rgb="FFFFFFFF"/>
      <name val="Calibri"/>
      <family val="0"/>
      <charset val="1"/>
    </font>
    <font>
      <b val="true"/>
      <sz val="9"/>
      <color rgb="FFFFFFFF"/>
      <name val="Noto Sans CJK SC"/>
      <family val="2"/>
    </font>
    <font>
      <b val="true"/>
      <sz val="14"/>
      <color rgb="FF0B5394"/>
      <name val="Calibri"/>
      <family val="0"/>
      <charset val="1"/>
    </font>
    <font>
      <b val="true"/>
      <sz val="12"/>
      <color rgb="FF0B5394"/>
      <name val="Calibri"/>
      <family val="0"/>
      <charset val="1"/>
    </font>
    <font>
      <sz val="11"/>
      <color rgb="FF0000FF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4"/>
      <color rgb="FF4A4A4A"/>
      <name val="Calibri"/>
      <family val="0"/>
      <charset val="1"/>
    </font>
    <font>
      <b val="true"/>
      <sz val="14"/>
      <color rgb="FFB22222"/>
      <name val="Calibri"/>
      <family val="0"/>
      <charset val="1"/>
    </font>
    <font>
      <b val="true"/>
      <sz val="12"/>
      <color rgb="FFB22222"/>
      <name val="Calibri"/>
      <family val="0"/>
      <charset val="1"/>
    </font>
    <font>
      <b val="true"/>
      <sz val="11"/>
      <color rgb="FFB22222"/>
      <name val="Calibri"/>
      <family val="0"/>
      <charset val="1"/>
    </font>
  </fonts>
  <fills count="50">
    <fill>
      <patternFill patternType="none"/>
    </fill>
    <fill>
      <patternFill patternType="gray125"/>
    </fill>
    <fill>
      <patternFill patternType="darkGray">
        <fgColor rgb="FFF5F9FC"/>
        <bgColor rgb="FFF0F6FA"/>
      </patternFill>
    </fill>
    <fill>
      <patternFill patternType="solid">
        <fgColor rgb="FFEAF2FB"/>
        <bgColor rgb="FFEDF5F5"/>
      </patternFill>
    </fill>
    <fill>
      <patternFill patternType="solid">
        <fgColor rgb="FF1B3A5C"/>
        <bgColor rgb="FF1F3864"/>
      </patternFill>
    </fill>
    <fill>
      <patternFill patternType="solid">
        <fgColor rgb="FF1F3864"/>
        <bgColor rgb="FF1B3A5C"/>
      </patternFill>
    </fill>
    <fill>
      <patternFill patternType="solid">
        <fgColor rgb="FFF5F9FC"/>
        <bgColor rgb="FFF0F6FA"/>
      </patternFill>
    </fill>
    <fill>
      <patternFill patternType="solid">
        <fgColor rgb="FFFFF8EC"/>
        <bgColor rgb="FFF5F5F3"/>
      </patternFill>
    </fill>
    <fill>
      <patternFill patternType="solid">
        <fgColor rgb="FFDE7800"/>
        <bgColor rgb="FFDC7300"/>
      </patternFill>
    </fill>
    <fill>
      <patternFill patternType="solid">
        <fgColor rgb="FFDBDAD8"/>
        <bgColor rgb="FFD4D1CA"/>
      </patternFill>
    </fill>
    <fill>
      <patternFill patternType="solid">
        <fgColor rgb="FF20808E"/>
        <bgColor rgb="FF20808D"/>
      </patternFill>
    </fill>
    <fill>
      <patternFill patternType="solid">
        <fgColor rgb="FF2C3E50"/>
        <bgColor rgb="FF2C3D4F"/>
      </patternFill>
    </fill>
    <fill>
      <patternFill patternType="solid">
        <fgColor rgb="FF2D6A2D"/>
        <bgColor rgb="FF276A2F"/>
      </patternFill>
    </fill>
    <fill>
      <patternFill patternType="darkGray">
        <fgColor rgb="FF0B5394"/>
        <bgColor rgb="FF065CB2"/>
      </patternFill>
    </fill>
    <fill>
      <patternFill patternType="solid">
        <fgColor rgb="FF1B474D"/>
        <bgColor rgb="FF1B3A5C"/>
      </patternFill>
    </fill>
    <fill>
      <patternFill patternType="darkGray">
        <fgColor rgb="FFB33D36"/>
        <bgColor rgb="FF954352"/>
      </patternFill>
    </fill>
    <fill>
      <patternFill patternType="solid">
        <fgColor rgb="FF954352"/>
        <bgColor rgb="FF944454"/>
      </patternFill>
    </fill>
    <fill>
      <patternFill patternType="solid">
        <fgColor rgb="FFDC7300"/>
        <bgColor rgb="FFDA7101"/>
      </patternFill>
    </fill>
    <fill>
      <patternFill patternType="solid">
        <fgColor rgb="FF7A39BB"/>
        <bgColor rgb="FF944454"/>
      </patternFill>
    </fill>
    <fill>
      <patternFill patternType="solid">
        <fgColor rgb="FFF5F5F3"/>
        <bgColor rgb="FFF2F2F2"/>
      </patternFill>
    </fill>
    <fill>
      <patternFill patternType="solid">
        <fgColor rgb="FFF0F6FA"/>
        <bgColor rgb="FFEDF5F5"/>
      </patternFill>
    </fill>
    <fill>
      <patternFill patternType="darkGray">
        <fgColor rgb="FF265F6F"/>
        <bgColor rgb="FF55616E"/>
      </patternFill>
    </fill>
    <fill>
      <patternFill patternType="solid">
        <fgColor rgb="FFBCE2E7"/>
        <bgColor rgb="FFC5D0D8"/>
      </patternFill>
    </fill>
    <fill>
      <patternFill patternType="solid">
        <fgColor rgb="FF8ECDD8"/>
        <bgColor rgb="FFB8CCA0"/>
      </patternFill>
    </fill>
    <fill>
      <patternFill patternType="solid">
        <fgColor rgb="FF4FA9BC"/>
        <bgColor rgb="FF20808E"/>
      </patternFill>
    </fill>
    <fill>
      <patternFill patternType="solid">
        <fgColor rgb="FFF4CDA7"/>
        <bgColor rgb="FFD4D1CA"/>
      </patternFill>
    </fill>
    <fill>
      <patternFill patternType="solid">
        <fgColor rgb="FFD1B4E5"/>
        <bgColor rgb="FFBEBEBE"/>
      </patternFill>
    </fill>
    <fill>
      <patternFill patternType="solid">
        <fgColor rgb="FFA86FDF"/>
        <bgColor rgb="FF7C7B78"/>
      </patternFill>
    </fill>
    <fill>
      <patternFill patternType="solid">
        <fgColor rgb="FFEDF5F5"/>
        <bgColor rgb="FFF0F6FA"/>
      </patternFill>
    </fill>
    <fill>
      <patternFill patternType="darkGray">
        <fgColor rgb="FFF4CDA7"/>
        <bgColor rgb="FFD4D1CA"/>
      </patternFill>
    </fill>
    <fill>
      <patternFill patternType="solid">
        <fgColor rgb="FFEF8F37"/>
        <bgColor rgb="FFDE7800"/>
      </patternFill>
    </fill>
    <fill>
      <patternFill patternType="solid">
        <fgColor rgb="FF859143"/>
        <bgColor rgb="FF7C7B78"/>
      </patternFill>
    </fill>
    <fill>
      <patternFill patternType="solid">
        <fgColor rgb="FF494C47"/>
        <bgColor rgb="FF4A4A4A"/>
      </patternFill>
    </fill>
    <fill>
      <patternFill patternType="solid">
        <fgColor rgb="FFFFFFFF"/>
        <bgColor rgb="FFF5F9FC"/>
      </patternFill>
    </fill>
    <fill>
      <patternFill patternType="solid">
        <fgColor rgb="FF2C3D4F"/>
        <bgColor rgb="FF2C3E50"/>
      </patternFill>
    </fill>
    <fill>
      <patternFill patternType="solid">
        <fgColor rgb="FFA50A26"/>
        <bgColor rgb="FFB22222"/>
      </patternFill>
    </fill>
    <fill>
      <patternFill patternType="darkGray">
        <fgColor rgb="FF59692E"/>
        <bgColor rgb="FF55616E"/>
      </patternFill>
    </fill>
    <fill>
      <patternFill patternType="solid">
        <fgColor rgb="FF944454"/>
        <bgColor rgb="FF954352"/>
      </patternFill>
    </fill>
    <fill>
      <patternFill patternType="darkGray">
        <fgColor rgb="FFA50A26"/>
        <bgColor rgb="FFB22222"/>
      </patternFill>
    </fill>
    <fill>
      <patternFill patternType="solid">
        <fgColor rgb="FF265F6F"/>
        <bgColor rgb="FF0B5394"/>
      </patternFill>
    </fill>
    <fill>
      <patternFill patternType="solid">
        <fgColor rgb="FF7C7B78"/>
        <bgColor rgb="FF556D82"/>
      </patternFill>
    </fill>
    <fill>
      <patternFill patternType="solid">
        <fgColor rgb="FFB74E11"/>
        <bgColor rgb="FFB33D36"/>
      </patternFill>
    </fill>
    <fill>
      <patternFill patternType="darkGray">
        <fgColor rgb="FF804717"/>
        <bgColor rgb="FF954352"/>
      </patternFill>
    </fill>
    <fill>
      <patternFill patternType="darkGray">
        <fgColor rgb="FFF0F6FA"/>
        <bgColor rgb="FFEDF5F5"/>
      </patternFill>
    </fill>
    <fill>
      <patternFill patternType="darkGray">
        <fgColor rgb="FF556D82"/>
        <bgColor rgb="FF55616E"/>
      </patternFill>
    </fill>
    <fill>
      <patternFill patternType="darkGray">
        <fgColor rgb="FF55616E"/>
        <bgColor rgb="FF556D82"/>
      </patternFill>
    </fill>
    <fill>
      <patternFill patternType="mediumGray">
        <fgColor rgb="FF2D6A2D"/>
        <bgColor rgb="FF276A2F"/>
      </patternFill>
    </fill>
    <fill>
      <patternFill patternType="solid">
        <fgColor rgb="FF4A8C4A"/>
        <bgColor rgb="FF307A3C"/>
      </patternFill>
    </fill>
    <fill>
      <patternFill patternType="solid">
        <fgColor rgb="FFF2F2F2"/>
        <bgColor rgb="FFF5F5F3"/>
      </patternFill>
    </fill>
    <fill>
      <patternFill patternType="solid">
        <fgColor rgb="FFB22222"/>
        <bgColor rgb="FFA50A26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>
        <color rgb="FF556D82"/>
      </left>
      <right/>
      <top style="medium">
        <color rgb="FF556D82"/>
      </top>
      <bottom style="medium">
        <color rgb="FF556D82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BEBEBE"/>
      </left>
      <right style="thin">
        <color rgb="FFCCCCCC"/>
      </right>
      <top style="thin">
        <color rgb="FFBEBEBE"/>
      </top>
      <bottom style="thin">
        <color rgb="FFBEBEBE"/>
      </bottom>
      <diagonal/>
    </border>
    <border diagonalUp="false" diagonalDown="false">
      <left style="thin">
        <color rgb="FFBEBEBE"/>
      </left>
      <right/>
      <top style="thin">
        <color rgb="FFBEBEBE"/>
      </top>
      <bottom style="thin">
        <color rgb="FFBEBEBE"/>
      </bottom>
      <diagonal/>
    </border>
    <border diagonalUp="false" diagonalDown="false">
      <left/>
      <right/>
      <top/>
      <bottom style="hair">
        <color rgb="FFDBDAD8"/>
      </bottom>
      <diagonal/>
    </border>
    <border diagonalUp="false" diagonalDown="false"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D4D1CA"/>
      </left>
      <right/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C5D0D8"/>
      </left>
      <right style="thin">
        <color rgb="FFC5D0D8"/>
      </right>
      <top style="thin">
        <color rgb="FFC5D0D8"/>
      </top>
      <bottom style="thin">
        <color rgb="FFC5D0D8"/>
      </bottom>
      <diagonal/>
    </border>
    <border diagonalUp="false" diagonalDown="false">
      <left style="thin">
        <color rgb="FFC5D0D8"/>
      </left>
      <right/>
      <top style="thin">
        <color rgb="FFC5D0D8"/>
      </top>
      <bottom style="thin">
        <color rgb="FFC5D0D8"/>
      </bottom>
      <diagonal/>
    </border>
    <border diagonalUp="false" diagonalDown="false">
      <left style="thin">
        <color rgb="FFB8CCA0"/>
      </left>
      <right style="thin">
        <color rgb="FFB8CCA0"/>
      </right>
      <top style="thin">
        <color rgb="FFB8CCA0"/>
      </top>
      <bottom style="thin">
        <color rgb="FFB8CCA0"/>
      </bottom>
      <diagonal/>
    </border>
    <border diagonalUp="false" diagonalDown="false">
      <left style="thin">
        <color rgb="FFB8CCA0"/>
      </left>
      <right/>
      <top style="thin">
        <color rgb="FFB8CCA0"/>
      </top>
      <bottom style="thin">
        <color rgb="FFB8CCA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5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0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0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7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5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9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11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1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1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1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9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2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2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4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5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6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8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9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6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1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9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3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7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3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9" fillId="3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63" fillId="3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3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3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8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3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3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3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3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4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5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6" fillId="3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7" fillId="3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8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3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3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3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2" fillId="3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6" fillId="2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6" fillId="2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3" fillId="4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4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4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0" fillId="21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3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4" fillId="19" borderId="9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83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4" fillId="33" borderId="9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85" fillId="3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6" fillId="4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1" fillId="4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4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4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19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3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19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7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33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7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45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34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44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6" fillId="4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1" fillId="4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9" fillId="2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9" fillId="33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0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2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3" fillId="4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4" fillId="47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5" fillId="46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28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33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1" fillId="4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7" borderId="1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1" fillId="4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2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9" fillId="2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3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9" fillId="3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9" fillId="2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9" fillId="3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0" fillId="4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5" fillId="4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2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5" fillId="48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4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4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0">
    <dxf>
      <fill>
        <patternFill patternType="solid">
          <fgColor rgb="FFDE78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1B3A5C"/>
          <bgColor rgb="FF000000"/>
        </patternFill>
      </fill>
    </dxf>
    <dxf>
      <fill>
        <patternFill patternType="solid">
          <fgColor rgb="FF1B474D"/>
          <bgColor rgb="FF000000"/>
        </patternFill>
      </fill>
    </dxf>
    <dxf>
      <fill>
        <patternFill patternType="solid">
          <fgColor rgb="FFF5F5F3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28251D"/>
          <bgColor rgb="FF000000"/>
        </patternFill>
      </fill>
    </dxf>
    <dxf>
      <fill>
        <patternFill patternType="solid">
          <fgColor rgb="FF7A7974"/>
          <bgColor rgb="FF000000"/>
        </patternFill>
      </fill>
    </dxf>
    <dxf>
      <fill>
        <patternFill patternType="solid">
          <fgColor rgb="FF20808E"/>
          <bgColor rgb="FF000000"/>
        </patternFill>
      </fill>
    </dxf>
    <dxf>
      <fill>
        <patternFill patternType="solid">
          <fgColor rgb="FFAB3F3D"/>
          <bgColor rgb="FF000000"/>
        </patternFill>
      </fill>
    </dxf>
    <dxf>
      <fill>
        <patternFill patternType="solid">
          <fgColor rgb="FF954352"/>
          <bgColor rgb="FF000000"/>
        </patternFill>
      </fill>
    </dxf>
    <dxf>
      <fill>
        <patternFill patternType="solid">
          <fgColor rgb="FFDC7300"/>
          <bgColor rgb="FF000000"/>
        </patternFill>
      </fill>
    </dxf>
    <dxf>
      <fill>
        <patternFill patternType="solid">
          <fgColor rgb="FF7A39BB"/>
          <bgColor rgb="FF000000"/>
        </patternFill>
      </fill>
    </dxf>
    <dxf>
      <fill>
        <patternFill patternType="solid">
          <fgColor rgb="FF2C3D4F"/>
          <bgColor rgb="FF000000"/>
        </patternFill>
      </fill>
    </dxf>
    <dxf>
      <fill>
        <patternFill patternType="solid">
          <fgColor rgb="FF494C47"/>
          <bgColor rgb="FF000000"/>
        </patternFill>
      </fill>
    </dxf>
    <dxf>
      <fill>
        <patternFill patternType="solid">
          <fgColor rgb="FF4FA9BC"/>
          <bgColor rgb="FF000000"/>
        </patternFill>
      </fill>
    </dxf>
    <dxf>
      <fill>
        <patternFill patternType="solid">
          <fgColor rgb="FF58673E"/>
          <bgColor rgb="FF000000"/>
        </patternFill>
      </fill>
    </dxf>
    <dxf>
      <fill>
        <patternFill patternType="solid">
          <fgColor rgb="FF859143"/>
          <bgColor rgb="FF000000"/>
        </patternFill>
      </fill>
    </dxf>
    <dxf>
      <fill>
        <patternFill patternType="solid">
          <fgColor rgb="FF944454"/>
          <bgColor rgb="FF000000"/>
        </patternFill>
      </fill>
    </dxf>
    <dxf>
      <fill>
        <patternFill patternType="solid">
          <fgColor rgb="FFA40A26"/>
          <bgColor rgb="FF000000"/>
        </patternFill>
      </fill>
    </dxf>
    <dxf>
      <fill>
        <patternFill patternType="solid">
          <fgColor rgb="FFA81025"/>
          <bgColor rgb="FF000000"/>
        </patternFill>
      </fill>
    </dxf>
    <dxf>
      <fill>
        <patternFill patternType="solid">
          <fgColor rgb="FF1B5E71"/>
          <bgColor rgb="FF000000"/>
        </patternFill>
      </fill>
    </dxf>
    <dxf>
      <fill>
        <patternFill patternType="solid">
          <fgColor rgb="FF20808D"/>
          <bgColor rgb="FF000000"/>
        </patternFill>
      </fill>
    </dxf>
    <dxf>
      <fill>
        <patternFill patternType="solid">
          <fgColor rgb="FF2E7D9A"/>
          <bgColor rgb="FF000000"/>
        </patternFill>
      </fill>
    </dxf>
    <dxf>
      <fill>
        <patternFill patternType="solid">
          <fgColor rgb="FF888888"/>
          <bgColor rgb="FF000000"/>
        </patternFill>
      </fill>
    </dxf>
    <dxf>
      <fill>
        <patternFill patternType="solid">
          <fgColor rgb="FF8B6914"/>
          <bgColor rgb="FF000000"/>
        </patternFill>
      </fill>
    </dxf>
    <dxf>
      <fill>
        <patternFill patternType="solid">
          <fgColor rgb="FFA84B2F"/>
          <bgColor rgb="FF000000"/>
        </patternFill>
      </fill>
    </dxf>
    <dxf>
      <fill>
        <patternFill patternType="solid">
          <fgColor rgb="FFBF8C40"/>
          <bgColor rgb="FF000000"/>
        </patternFill>
      </fill>
    </dxf>
    <dxf>
      <fill>
        <patternFill patternType="solid">
          <fgColor rgb="FFC85A00"/>
          <bgColor rgb="FF000000"/>
        </patternFill>
      </fill>
    </dxf>
    <dxf>
      <fill>
        <patternFill patternType="solid">
          <fgColor rgb="FFDA7101"/>
          <bgColor rgb="FF000000"/>
        </patternFill>
      </fill>
    </dxf>
    <dxf>
      <fill>
        <patternFill patternType="solid">
          <fgColor rgb="FFE07B00"/>
          <bgColor rgb="FF000000"/>
        </patternFill>
      </fill>
    </dxf>
    <dxf>
      <fill>
        <patternFill patternType="solid">
          <fgColor rgb="FFE08030"/>
          <bgColor rgb="FF000000"/>
        </patternFill>
      </fill>
    </dxf>
    <dxf>
      <fill>
        <patternFill patternType="solid">
          <fgColor rgb="FFF0A040"/>
          <bgColor rgb="FF000000"/>
        </patternFill>
      </fill>
    </dxf>
    <dxf>
      <fill>
        <patternFill patternType="solid">
          <fgColor rgb="FF345472"/>
          <bgColor rgb="FF000000"/>
        </patternFill>
      </fill>
    </dxf>
    <dxf>
      <fill>
        <patternFill patternType="solid">
          <fgColor rgb="FF3A5B77"/>
          <bgColor rgb="FF000000"/>
        </patternFill>
      </fill>
    </dxf>
    <dxf>
      <fill>
        <patternFill patternType="solid">
          <fgColor rgb="FF4D6E87"/>
          <bgColor rgb="FF000000"/>
        </patternFill>
      </fill>
    </dxf>
    <dxf>
      <fill>
        <patternFill patternType="solid">
          <fgColor rgb="FF7598AA"/>
          <bgColor rgb="FF000000"/>
        </patternFill>
      </fill>
    </dxf>
    <dxf>
      <fill>
        <patternFill patternType="solid">
          <fgColor rgb="FF9EC2CD"/>
          <bgColor rgb="FF000000"/>
        </patternFill>
      </fill>
    </dxf>
    <dxf>
      <fill>
        <patternFill patternType="solid">
          <fgColor rgb="FFA6CBD4"/>
          <bgColor rgb="FF000000"/>
        </patternFill>
      </fill>
    </dxf>
    <dxf>
      <fill>
        <patternFill patternType="solid">
          <fgColor rgb="FFA7CCD5"/>
          <bgColor rgb="FF000000"/>
        </patternFill>
      </fill>
    </dxf>
    <dxf>
      <fill>
        <patternFill patternType="solid">
          <fgColor rgb="FFB3D9DF"/>
          <bgColor rgb="FF000000"/>
        </patternFill>
      </fill>
    </dxf>
    <dxf>
      <fill>
        <patternFill patternType="solid">
          <fgColor rgb="FFBCE2E7"/>
          <bgColor rgb="FF000000"/>
        </patternFill>
      </fill>
    </dxf>
    <dxf>
      <fill>
        <patternFill patternType="solid">
          <fgColor rgb="FFBFE3E8"/>
          <bgColor rgb="FF000000"/>
        </patternFill>
      </fill>
    </dxf>
    <dxf>
      <fill>
        <patternFill patternType="solid">
          <fgColor rgb="FFC6E6EA"/>
          <bgColor rgb="FF000000"/>
        </patternFill>
      </fill>
    </dxf>
    <dxf>
      <fill>
        <patternFill patternType="solid">
          <fgColor rgb="FFCBE8EC"/>
          <bgColor rgb="FF000000"/>
        </patternFill>
      </fill>
    </dxf>
    <dxf>
      <fill>
        <patternFill patternType="solid">
          <fgColor rgb="FFD0EAED"/>
          <bgColor rgb="FF000000"/>
        </patternFill>
      </fill>
    </dxf>
    <dxf>
      <fill>
        <patternFill patternType="solid">
          <fgColor rgb="FFE3F1F3"/>
          <bgColor rgb="FF000000"/>
        </patternFill>
      </fill>
    </dxf>
    <dxf>
      <fill>
        <patternFill patternType="solid">
          <fgColor rgb="FFEAF4F5"/>
          <bgColor rgb="FF000000"/>
        </patternFill>
      </fill>
    </dxf>
    <dxf>
      <fill>
        <patternFill patternType="solid">
          <fgColor rgb="FFF3F8F8"/>
          <bgColor rgb="FF000000"/>
        </patternFill>
      </fill>
    </dxf>
    <dxf>
      <fill>
        <patternFill patternType="solid">
          <fgColor rgb="FFFAFAFA"/>
          <bgColor rgb="FF000000"/>
        </patternFill>
      </fill>
    </dxf>
    <dxf>
      <fill>
        <patternFill patternType="solid">
          <fgColor rgb="FFF3F8FB"/>
          <bgColor rgb="FF000000"/>
        </patternFill>
      </fill>
    </dxf>
    <dxf>
      <fill>
        <patternFill patternType="solid">
          <fgColor rgb="FF2C3E50"/>
          <bgColor rgb="FF000000"/>
        </patternFill>
      </fill>
    </dxf>
    <dxf>
      <fill>
        <patternFill patternType="solid">
          <fgColor rgb="FF556473"/>
          <bgColor rgb="FF000000"/>
        </patternFill>
      </fill>
    </dxf>
    <dxf>
      <fill>
        <patternFill patternType="solid">
          <fgColor rgb="FF1B6B3A"/>
          <bgColor rgb="FF000000"/>
        </patternFill>
      </fill>
    </dxf>
    <dxf>
      <fill>
        <patternFill patternType="solid">
          <fgColor rgb="FF8B4513"/>
          <bgColor rgb="FF000000"/>
        </patternFill>
      </fill>
    </dxf>
    <dxf>
      <fill>
        <patternFill patternType="solid">
          <fgColor rgb="FF556A7D"/>
          <bgColor rgb="FF000000"/>
        </patternFill>
      </fill>
    </dxf>
    <dxf>
      <fill>
        <patternFill patternType="solid">
          <fgColor rgb="FF4A8C4A"/>
          <bgColor rgb="FF000000"/>
        </patternFill>
      </fill>
    </dxf>
    <dxf>
      <fill>
        <patternFill patternType="solid">
          <fgColor rgb="FFEDF5F5"/>
          <bgColor rgb="FF000000"/>
        </patternFill>
      </fill>
    </dxf>
  </dxfs>
  <colors>
    <indexedColors>
      <rgbColor rgb="FF000000"/>
      <rgbColor rgb="FFFFFFFF"/>
      <rgbColor rgb="FFB74E11"/>
      <rgbColor rgb="FF2D6A2D"/>
      <rgbColor rgb="FF0000FF"/>
      <rgbColor rgb="FFDBDAD8"/>
      <rgbColor rgb="FF55616E"/>
      <rgbColor rgb="FFF0F6FA"/>
      <rgbColor rgb="FFA50A26"/>
      <rgbColor rgb="FF276A2F"/>
      <rgbColor rgb="FF2C3E50"/>
      <rgbColor rgb="FF859143"/>
      <rgbColor rgb="FF7A39BB"/>
      <rgbColor rgb="FF20808D"/>
      <rgbColor rgb="FFBEBEBE"/>
      <rgbColor rgb="FF7C7B78"/>
      <rgbColor rgb="FFA86FDF"/>
      <rgbColor rgb="FF954352"/>
      <rgbColor rgb="FFFFF8EC"/>
      <rgbColor rgb="FFEAF2FB"/>
      <rgbColor rgb="FF4A4A4A"/>
      <rgbColor rgb="FFDE7800"/>
      <rgbColor rgb="FF065CB2"/>
      <rgbColor rgb="FFC5D0D8"/>
      <rgbColor rgb="FF494C47"/>
      <rgbColor rgb="FF59692E"/>
      <rgbColor rgb="FFF2F2F2"/>
      <rgbColor rgb="FFF5F9FC"/>
      <rgbColor rgb="FFB33D36"/>
      <rgbColor rgb="FFB22222"/>
      <rgbColor rgb="FF20808E"/>
      <rgbColor rgb="FF265F6F"/>
      <rgbColor rgb="FF307A3C"/>
      <rgbColor rgb="FFEDF5F5"/>
      <rgbColor rgb="FFBCE2E7"/>
      <rgbColor rgb="FFF5F5F3"/>
      <rgbColor rgb="FF8ECDD8"/>
      <rgbColor rgb="FFCCCCCC"/>
      <rgbColor rgb="FFD1B4E5"/>
      <rgbColor rgb="FFF4CDA7"/>
      <rgbColor rgb="FF0B5394"/>
      <rgbColor rgb="FF4FA9BC"/>
      <rgbColor rgb="FFDA7101"/>
      <rgbColor rgb="FFD4D1CA"/>
      <rgbColor rgb="FFEF8F37"/>
      <rgbColor rgb="FFDC7300"/>
      <rgbColor rgb="FF556D82"/>
      <rgbColor rgb="FFB8CCA0"/>
      <rgbColor rgb="FF1B3A5C"/>
      <rgbColor rgb="FF4A8C4A"/>
      <rgbColor rgb="FF1B474D"/>
      <rgbColor rgb="FF26241D"/>
      <rgbColor rgb="FF804717"/>
      <rgbColor rgb="FF944454"/>
      <rgbColor rgb="FF1F3864"/>
      <rgbColor rgb="FF2C3D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Minimum Yield Strength at ≤16mm Thickness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'Yield Strength'!C5</c:f>
              <c:strCache>
                <c:ptCount val="1"/>
                <c:pt idx="0">
                  <c:v>S235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Strength'!$C$6</c:f>
              <c:numCache>
                <c:formatCode>#,##0</c:formatCode>
                <c:ptCount val="1"/>
                <c:pt idx="0">
                  <c:v>235</c:v>
                </c:pt>
              </c:numCache>
            </c:numRef>
          </c:val>
        </c:ser>
        <c:ser>
          <c:idx val="1"/>
          <c:order val="1"/>
          <c:tx>
            <c:strRef>
              <c:f>'Yield Strength'!D5</c:f>
              <c:strCache>
                <c:ptCount val="1"/>
                <c:pt idx="0">
                  <c:v>S275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Strength'!$D$6</c:f>
              <c:numCache>
                <c:formatCode>#,##0</c:formatCode>
                <c:ptCount val="1"/>
                <c:pt idx="0">
                  <c:v>275</c:v>
                </c:pt>
              </c:numCache>
            </c:numRef>
          </c:val>
        </c:ser>
        <c:ser>
          <c:idx val="2"/>
          <c:order val="2"/>
          <c:tx>
            <c:strRef>
              <c:f>'Yield Strength'!E5</c:f>
              <c:strCache>
                <c:ptCount val="1"/>
                <c:pt idx="0">
                  <c:v>S355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Strength'!$E$6</c:f>
              <c:numCache>
                <c:formatCode>#,##0</c:formatCode>
                <c:ptCount val="1"/>
                <c:pt idx="0">
                  <c:v>355</c:v>
                </c:pt>
              </c:numCache>
            </c:numRef>
          </c:val>
        </c:ser>
        <c:ser>
          <c:idx val="3"/>
          <c:order val="3"/>
          <c:tx>
            <c:strRef>
              <c:f>'Yield Strength'!F5</c:f>
              <c:strCache>
                <c:ptCount val="1"/>
                <c:pt idx="0">
                  <c:v>S420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Strength'!$F$6</c:f>
              <c:numCache>
                <c:formatCode>#,##0</c:formatCode>
                <c:ptCount val="1"/>
                <c:pt idx="0">
                  <c:v>420</c:v>
                </c:pt>
              </c:numCache>
            </c:numRef>
          </c:val>
        </c:ser>
        <c:ser>
          <c:idx val="4"/>
          <c:order val="4"/>
          <c:tx>
            <c:strRef>
              <c:f>'Yield Strength'!G5</c:f>
              <c:strCache>
                <c:ptCount val="1"/>
                <c:pt idx="0">
                  <c:v>S460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Strength'!$G$6</c:f>
              <c:numCache>
                <c:formatCode>#,##0</c:formatCode>
                <c:ptCount val="1"/>
                <c:pt idx="0">
                  <c:v>460</c:v>
                </c:pt>
              </c:numCache>
            </c:numRef>
          </c:val>
        </c:ser>
        <c:ser>
          <c:idx val="5"/>
          <c:order val="5"/>
          <c:tx>
            <c:strRef>
              <c:f>'Yield Strength'!H5</c:f>
              <c:strCache>
                <c:ptCount val="1"/>
                <c:pt idx="0">
                  <c:v>S500</c:v>
                </c:pt>
              </c:strCache>
            </c:strRef>
          </c:tx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Strength'!$H$6</c:f>
              <c:numCache>
                <c:formatCode>#,##0</c:formatCode>
                <c:ptCount val="1"/>
                <c:pt idx="0">
                  <c:v>500</c:v>
                </c:pt>
              </c:numCache>
            </c:numRef>
          </c:val>
        </c:ser>
        <c:gapWidth val="150"/>
        <c:overlap val="0"/>
        <c:axId val="172685"/>
        <c:axId val="95602307"/>
      </c:barChart>
      <c:catAx>
        <c:axId val="1726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Steel Grade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602307"/>
        <c:crosses val="autoZero"/>
        <c:auto val="1"/>
        <c:lblAlgn val="ctr"/>
        <c:lblOffset val="100"/>
        <c:noMultiLvlLbl val="0"/>
      </c:catAx>
      <c:valAx>
        <c:axId val="9560230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7268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Yield Strength vs. Thickness by Grade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'Yield Strength'!C5</c:f>
              <c:strCache>
                <c:ptCount val="1"/>
                <c:pt idx="0">
                  <c:v>S235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Strength'!$C$6:$C$13</c:f>
              <c:numCache>
                <c:formatCode>#,##0</c:formatCode>
                <c:ptCount val="8"/>
                <c:pt idx="0">
                  <c:v>235</c:v>
                </c:pt>
                <c:pt idx="1">
                  <c:v>225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195</c:v>
                </c:pt>
                <c:pt idx="6">
                  <c:v>185</c:v>
                </c:pt>
                <c:pt idx="7">
                  <c:v>175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'Yield Strength'!D5</c:f>
              <c:strCache>
                <c:ptCount val="1"/>
                <c:pt idx="0">
                  <c:v>S275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Strength'!$D$6:$D$13</c:f>
              <c:numCache>
                <c:formatCode>#,##0</c:formatCode>
                <c:ptCount val="8"/>
                <c:pt idx="0">
                  <c:v>275</c:v>
                </c:pt>
                <c:pt idx="1">
                  <c:v>265</c:v>
                </c:pt>
                <c:pt idx="2">
                  <c:v>255</c:v>
                </c:pt>
                <c:pt idx="3">
                  <c:v>245</c:v>
                </c:pt>
                <c:pt idx="4">
                  <c:v>235</c:v>
                </c:pt>
                <c:pt idx="5">
                  <c:v>225</c:v>
                </c:pt>
                <c:pt idx="6">
                  <c:v>215</c:v>
                </c:pt>
                <c:pt idx="7">
                  <c:v>205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'Yield Strength'!E5</c:f>
              <c:strCache>
                <c:ptCount val="1"/>
                <c:pt idx="0">
                  <c:v>S355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Strength'!$E$6:$E$13</c:f>
              <c:numCache>
                <c:formatCode>#,##0</c:formatCode>
                <c:ptCount val="8"/>
                <c:pt idx="0">
                  <c:v>355</c:v>
                </c:pt>
                <c:pt idx="1">
                  <c:v>345</c:v>
                </c:pt>
                <c:pt idx="2">
                  <c:v>335</c:v>
                </c:pt>
                <c:pt idx="3">
                  <c:v>325</c:v>
                </c:pt>
                <c:pt idx="4">
                  <c:v>315</c:v>
                </c:pt>
                <c:pt idx="5">
                  <c:v>295</c:v>
                </c:pt>
                <c:pt idx="6">
                  <c:v>285</c:v>
                </c:pt>
                <c:pt idx="7">
                  <c:v>275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'Yield Strength'!F5</c:f>
              <c:strCache>
                <c:ptCount val="1"/>
                <c:pt idx="0">
                  <c:v>S420</c:v>
                </c:pt>
              </c:strCache>
            </c:strRef>
          </c:tx>
          <c:spPr>
            <a:solidFill>
              <a:srgbClr val="7d5fa0"/>
            </a:solidFill>
            <a:ln w="4752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Strength'!$F$6:$F$13</c:f>
              <c:numCache>
                <c:formatCode>#,##0</c:formatCode>
                <c:ptCount val="8"/>
                <c:pt idx="0">
                  <c:v>420</c:v>
                </c:pt>
                <c:pt idx="1">
                  <c:v>400</c:v>
                </c:pt>
                <c:pt idx="2">
                  <c:v>390</c:v>
                </c:pt>
                <c:pt idx="3">
                  <c:v>370</c:v>
                </c:pt>
                <c:pt idx="4">
                  <c:v>360</c:v>
                </c:pt>
                <c:pt idx="5">
                  <c:v>340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'Yield Strength'!G5</c:f>
              <c:strCache>
                <c:ptCount val="1"/>
                <c:pt idx="0">
                  <c:v>S460</c:v>
                </c:pt>
              </c:strCache>
            </c:strRef>
          </c:tx>
          <c:spPr>
            <a:solidFill>
              <a:srgbClr val="46aac4"/>
            </a:solidFill>
            <a:ln w="47520">
              <a:solidFill>
                <a:srgbClr val="46aa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Strength'!$G$6:$G$13</c:f>
              <c:numCache>
                <c:formatCode>#,##0</c:formatCode>
                <c:ptCount val="8"/>
                <c:pt idx="0">
                  <c:v>460</c:v>
                </c:pt>
                <c:pt idx="1">
                  <c:v>440</c:v>
                </c:pt>
                <c:pt idx="2">
                  <c:v>430</c:v>
                </c:pt>
                <c:pt idx="3">
                  <c:v>410</c:v>
                </c:pt>
                <c:pt idx="4">
                  <c:v>400</c:v>
                </c:pt>
                <c:pt idx="5">
                  <c:v>380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'Yield Strength'!H5</c:f>
              <c:strCache>
                <c:ptCount val="1"/>
                <c:pt idx="0">
                  <c:v>S500</c:v>
                </c:pt>
              </c:strCache>
            </c:strRef>
          </c:tx>
          <c:spPr>
            <a:solidFill>
              <a:srgbClr val="f59240"/>
            </a:solidFill>
            <a:ln w="47520">
              <a:solidFill>
                <a:srgbClr val="f5924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Strength'!$H$6:$H$13</c:f>
              <c:numCache>
                <c:formatCode>#,##0</c:formatCode>
                <c:ptCount val="8"/>
                <c:pt idx="0">
                  <c:v>500</c:v>
                </c:pt>
                <c:pt idx="1">
                  <c:v>480</c:v>
                </c:pt>
                <c:pt idx="2">
                  <c:v>440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9002887"/>
        <c:axId val="53975068"/>
      </c:lineChart>
      <c:catAx>
        <c:axId val="79002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Thickness Band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3975068"/>
        <c:crosses val="autoZero"/>
        <c:auto val="1"/>
        <c:lblAlgn val="ctr"/>
        <c:lblOffset val="100"/>
        <c:noMultiLvlLbl val="0"/>
      </c:catAx>
      <c:valAx>
        <c:axId val="539750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00288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Carbon Equivalent (CEV max) by Grade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Weldability!C5</c:f>
              <c:strCache>
                <c:ptCount val="1"/>
                <c:pt idx="0">
                  <c:v>CEV max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Weldability!$B$6:$B$11</c:f>
              <c:strCache>
                <c:ptCount val="6"/>
                <c:pt idx="0">
                  <c:v>S235</c:v>
                </c:pt>
                <c:pt idx="1">
                  <c:v>S275</c:v>
                </c:pt>
                <c:pt idx="2">
                  <c:v>S355</c:v>
                </c:pt>
                <c:pt idx="3">
                  <c:v>S420</c:v>
                </c:pt>
                <c:pt idx="4">
                  <c:v>S460</c:v>
                </c:pt>
                <c:pt idx="5">
                  <c:v>S500</c:v>
                </c:pt>
              </c:strCache>
            </c:strRef>
          </c:cat>
          <c:val>
            <c:numRef>
              <c:f>Weldability!$C$6:$C$11</c:f>
              <c:numCache>
                <c:formatCode>0.00</c:formatCode>
                <c:ptCount val="6"/>
                <c:pt idx="0">
                  <c:v>0.35</c:v>
                </c:pt>
                <c:pt idx="1">
                  <c:v>0.4</c:v>
                </c:pt>
                <c:pt idx="2">
                  <c:v>0.45</c:v>
                </c:pt>
                <c:pt idx="3">
                  <c:v>0.47</c:v>
                </c:pt>
                <c:pt idx="4">
                  <c:v>0.53</c:v>
                </c:pt>
                <c:pt idx="5">
                  <c:v>0.56</c:v>
                </c:pt>
              </c:numCache>
            </c:numRef>
          </c:val>
        </c:ser>
        <c:gapWidth val="150"/>
        <c:overlap val="0"/>
        <c:axId val="6066849"/>
        <c:axId val="72245381"/>
      </c:barChart>
      <c:catAx>
        <c:axId val="60668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Steel Grade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2245381"/>
        <c:crosses val="autoZero"/>
        <c:auto val="1"/>
        <c:lblAlgn val="ctr"/>
        <c:lblOffset val="100"/>
        <c:noMultiLvlLbl val="0"/>
      </c:catAx>
      <c:valAx>
        <c:axId val="7224538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CEV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06684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Yield / Proof Strength Comparison — All Materials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'Cross-Material Strength'!E5</c:f>
              <c:strCache>
                <c:ptCount val="1"/>
                <c:pt idx="0">
                  <c:v>Yield / Proof
Strength (MPa)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'Cross-Material Strength'!$C$6:$C$24</c:f>
              <c:strCache>
                <c:ptCount val="19"/>
                <c:pt idx="0">
                  <c:v>S235</c:v>
                </c:pt>
                <c:pt idx="1">
                  <c:v>S275</c:v>
                </c:pt>
                <c:pt idx="2">
                  <c:v>S355</c:v>
                </c:pt>
                <c:pt idx="3">
                  <c:v>S420</c:v>
                </c:pt>
                <c:pt idx="4">
                  <c:v>S460</c:v>
                </c:pt>
                <c:pt idx="5">
                  <c:v>S500</c:v>
                </c:pt>
                <c:pt idx="6">
                  <c:v>SS304</c:v>
                </c:pt>
                <c:pt idx="7">
                  <c:v>SS304L</c:v>
                </c:pt>
                <c:pt idx="8">
                  <c:v>SS316</c:v>
                </c:pt>
                <c:pt idx="9">
                  <c:v>SS316L</c:v>
                </c:pt>
                <c:pt idx="10">
                  <c:v>2205 Duplex</c:v>
                </c:pt>
                <c:pt idx="11">
                  <c:v>6082-T6</c:v>
                </c:pt>
                <c:pt idx="12">
                  <c:v>6082-T6</c:v>
                </c:pt>
                <c:pt idx="13">
                  <c:v>6082-T4</c:v>
                </c:pt>
                <c:pt idx="14">
                  <c:v>6061-T6</c:v>
                </c:pt>
                <c:pt idx="15">
                  <c:v>6061-T4</c:v>
                </c:pt>
                <c:pt idx="16">
                  <c:v>5083-H111</c:v>
                </c:pt>
                <c:pt idx="17">
                  <c:v>6063-T6</c:v>
                </c:pt>
                <c:pt idx="18">
                  <c:v>7020-T6</c:v>
                </c:pt>
              </c:strCache>
            </c:strRef>
          </c:cat>
          <c:val>
            <c:numRef>
              <c:f>'Cross-Material Strength'!$E$6:$E$24</c:f>
              <c:numCache>
                <c:formatCode>#,##0</c:formatCode>
                <c:ptCount val="19"/>
                <c:pt idx="0">
                  <c:v>235</c:v>
                </c:pt>
                <c:pt idx="1">
                  <c:v>275</c:v>
                </c:pt>
                <c:pt idx="2">
                  <c:v>355</c:v>
                </c:pt>
                <c:pt idx="3">
                  <c:v>420</c:v>
                </c:pt>
                <c:pt idx="4">
                  <c:v>460</c:v>
                </c:pt>
                <c:pt idx="5">
                  <c:v>500</c:v>
                </c:pt>
                <c:pt idx="6">
                  <c:v>210</c:v>
                </c:pt>
                <c:pt idx="7">
                  <c:v>200</c:v>
                </c:pt>
                <c:pt idx="8">
                  <c:v>220</c:v>
                </c:pt>
                <c:pt idx="9">
                  <c:v>200</c:v>
                </c:pt>
                <c:pt idx="10">
                  <c:v>450</c:v>
                </c:pt>
                <c:pt idx="11">
                  <c:v>255</c:v>
                </c:pt>
                <c:pt idx="12">
                  <c:v>240</c:v>
                </c:pt>
                <c:pt idx="13">
                  <c:v>110</c:v>
                </c:pt>
                <c:pt idx="14">
                  <c:v>276</c:v>
                </c:pt>
                <c:pt idx="15">
                  <c:v>145</c:v>
                </c:pt>
                <c:pt idx="16">
                  <c:v>125</c:v>
                </c:pt>
                <c:pt idx="17">
                  <c:v>160</c:v>
                </c:pt>
                <c:pt idx="18">
                  <c:v>290</c:v>
                </c:pt>
              </c:numCache>
            </c:numRef>
          </c:val>
        </c:ser>
        <c:gapWidth val="150"/>
        <c:overlap val="0"/>
        <c:axId val="59718368"/>
        <c:axId val="94171899"/>
      </c:barChart>
      <c:catAx>
        <c:axId val="5971836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/ Proof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171899"/>
        <c:crosses val="autoZero"/>
        <c:auto val="1"/>
        <c:lblAlgn val="ctr"/>
        <c:lblOffset val="100"/>
        <c:noMultiLvlLbl val="0"/>
      </c:catAx>
      <c:valAx>
        <c:axId val="9417189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Grade / Alloy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971836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2.jpe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3.jpe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4.jpe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5.jpeg"/><Relationship Id="rId2" Type="http://schemas.openxmlformats.org/officeDocument/2006/relationships/image" Target="../media/image16.jpe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7.jpe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9.jpe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20.jpe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21.jpeg"/><Relationship Id="rId2" Type="http://schemas.openxmlformats.org/officeDocument/2006/relationships/image" Target="../media/image22.jpeg"/><Relationship Id="rId3" Type="http://schemas.openxmlformats.org/officeDocument/2006/relationships/image" Target="../media/image23.jpe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24.jpeg"/><Relationship Id="rId2" Type="http://schemas.openxmlformats.org/officeDocument/2006/relationships/image" Target="../media/image25.jpe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26.jpeg"/><Relationship Id="rId2" Type="http://schemas.openxmlformats.org/officeDocument/2006/relationships/image" Target="../media/image27.jpe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28.jpeg"/><Relationship Id="rId2" Type="http://schemas.openxmlformats.org/officeDocument/2006/relationships/image" Target="../media/image29.jpeg"/><Relationship Id="rId3" Type="http://schemas.openxmlformats.org/officeDocument/2006/relationships/image" Target="../media/image30.jpeg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31.jpeg"/><Relationship Id="rId2" Type="http://schemas.openxmlformats.org/officeDocument/2006/relationships/image" Target="../media/image32.jpeg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image" Target="../media/image33.jpeg"/><Relationship Id="rId2" Type="http://schemas.openxmlformats.org/officeDocument/2006/relationships/image" Target="../media/image34.jpeg"/><Relationship Id="rId3" Type="http://schemas.openxmlformats.org/officeDocument/2006/relationships/image" Target="../media/image35.jpeg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image" Target="../media/image36.jpeg"/><Relationship Id="rId2" Type="http://schemas.openxmlformats.org/officeDocument/2006/relationships/image" Target="../media/image37.jpeg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image" Target="../media/image38.jpeg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39.jpeg"/><Relationship Id="rId2" Type="http://schemas.openxmlformats.org/officeDocument/2006/relationships/image" Target="../media/image40.jpeg"/><Relationship Id="rId3" Type="http://schemas.openxmlformats.org/officeDocument/2006/relationships/image" Target="../media/image41.jpeg"/><Relationship Id="rId4" Type="http://schemas.openxmlformats.org/officeDocument/2006/relationships/image" Target="../media/image42.jpeg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image" Target="../media/image43.jpeg"/><Relationship Id="rId2" Type="http://schemas.openxmlformats.org/officeDocument/2006/relationships/image" Target="../media/image44.jpeg"/><Relationship Id="rId3" Type="http://schemas.openxmlformats.org/officeDocument/2006/relationships/image" Target="../media/image45.jpeg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image" Target="../media/image46.jpeg"/><Relationship Id="rId2" Type="http://schemas.openxmlformats.org/officeDocument/2006/relationships/image" Target="../media/image47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20</xdr:col>
      <xdr:colOff>171360</xdr:colOff>
      <xdr:row>11</xdr:row>
      <xdr:rowOff>9360</xdr:rowOff>
    </xdr:to>
    <xdr:pic>
      <xdr:nvPicPr>
        <xdr:cNvPr id="10" name="Image 1" descr="Picture"/>
        <xdr:cNvPicPr/>
      </xdr:nvPicPr>
      <xdr:blipFill>
        <a:blip r:embed="rId1"/>
        <a:stretch/>
      </xdr:blipFill>
      <xdr:spPr>
        <a:xfrm>
          <a:off x="7601040" y="476280"/>
          <a:ext cx="3533760" cy="705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20</xdr:col>
      <xdr:colOff>171360</xdr:colOff>
      <xdr:row>25</xdr:row>
      <xdr:rowOff>133200</xdr:rowOff>
    </xdr:to>
    <xdr:pic>
      <xdr:nvPicPr>
        <xdr:cNvPr id="11" name="Image 2" descr="Picture"/>
        <xdr:cNvPicPr/>
      </xdr:nvPicPr>
      <xdr:blipFill>
        <a:blip r:embed="rId2"/>
        <a:stretch/>
      </xdr:blipFill>
      <xdr:spPr>
        <a:xfrm>
          <a:off x="7601040" y="10001160"/>
          <a:ext cx="3533760" cy="3181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20880</xdr:colOff>
      <xdr:row>7</xdr:row>
      <xdr:rowOff>38160</xdr:rowOff>
    </xdr:to>
    <xdr:pic>
      <xdr:nvPicPr>
        <xdr:cNvPr id="12" name="Image 1" descr="Picture"/>
        <xdr:cNvPicPr/>
      </xdr:nvPicPr>
      <xdr:blipFill>
        <a:blip r:embed="rId1"/>
        <a:stretch/>
      </xdr:blipFill>
      <xdr:spPr>
        <a:xfrm>
          <a:off x="8016120" y="476280"/>
          <a:ext cx="2467080" cy="2038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21240</xdr:colOff>
      <xdr:row>6</xdr:row>
      <xdr:rowOff>142920</xdr:rowOff>
    </xdr:to>
    <xdr:pic>
      <xdr:nvPicPr>
        <xdr:cNvPr id="13" name="Image 1" descr="Picture"/>
        <xdr:cNvPicPr/>
      </xdr:nvPicPr>
      <xdr:blipFill>
        <a:blip r:embed="rId1"/>
        <a:stretch/>
      </xdr:blipFill>
      <xdr:spPr>
        <a:xfrm>
          <a:off x="7686720" y="666720"/>
          <a:ext cx="2467080" cy="2524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20880</xdr:colOff>
      <xdr:row>6</xdr:row>
      <xdr:rowOff>142920</xdr:rowOff>
    </xdr:to>
    <xdr:pic>
      <xdr:nvPicPr>
        <xdr:cNvPr id="14" name="Image 1" descr="Picture"/>
        <xdr:cNvPicPr/>
      </xdr:nvPicPr>
      <xdr:blipFill>
        <a:blip r:embed="rId1"/>
        <a:stretch/>
      </xdr:blipFill>
      <xdr:spPr>
        <a:xfrm>
          <a:off x="7263720" y="666720"/>
          <a:ext cx="2467080" cy="2524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20880</xdr:colOff>
      <xdr:row>6</xdr:row>
      <xdr:rowOff>152640</xdr:rowOff>
    </xdr:to>
    <xdr:pic>
      <xdr:nvPicPr>
        <xdr:cNvPr id="15" name="Image 1" descr="Picture"/>
        <xdr:cNvPicPr/>
      </xdr:nvPicPr>
      <xdr:blipFill>
        <a:blip r:embed="rId1"/>
        <a:stretch/>
      </xdr:blipFill>
      <xdr:spPr>
        <a:xfrm>
          <a:off x="7545600" y="666720"/>
          <a:ext cx="2467080" cy="2152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20880</xdr:colOff>
      <xdr:row>6</xdr:row>
      <xdr:rowOff>142920</xdr:rowOff>
    </xdr:to>
    <xdr:pic>
      <xdr:nvPicPr>
        <xdr:cNvPr id="16" name="Image 1" descr="Picture"/>
        <xdr:cNvPicPr/>
      </xdr:nvPicPr>
      <xdr:blipFill>
        <a:blip r:embed="rId1"/>
        <a:stretch/>
      </xdr:blipFill>
      <xdr:spPr>
        <a:xfrm>
          <a:off x="7545600" y="666720"/>
          <a:ext cx="2467080" cy="2143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442080</xdr:colOff>
      <xdr:row>7</xdr:row>
      <xdr:rowOff>57240</xdr:rowOff>
    </xdr:to>
    <xdr:pic>
      <xdr:nvPicPr>
        <xdr:cNvPr id="17" name="Image 1" descr="Picture"/>
        <xdr:cNvPicPr/>
      </xdr:nvPicPr>
      <xdr:blipFill>
        <a:blip r:embed="rId1"/>
        <a:stretch/>
      </xdr:blipFill>
      <xdr:spPr>
        <a:xfrm>
          <a:off x="8483040" y="857160"/>
          <a:ext cx="2276640" cy="3772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18</xdr:col>
      <xdr:colOff>442080</xdr:colOff>
      <xdr:row>7</xdr:row>
      <xdr:rowOff>38160</xdr:rowOff>
    </xdr:to>
    <xdr:pic>
      <xdr:nvPicPr>
        <xdr:cNvPr id="18" name="Image 1" descr="Picture"/>
        <xdr:cNvPicPr/>
      </xdr:nvPicPr>
      <xdr:blipFill>
        <a:blip r:embed="rId1"/>
        <a:stretch/>
      </xdr:blipFill>
      <xdr:spPr>
        <a:xfrm>
          <a:off x="9658440" y="1428840"/>
          <a:ext cx="2581200" cy="318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18</xdr:col>
      <xdr:colOff>442080</xdr:colOff>
      <xdr:row>24</xdr:row>
      <xdr:rowOff>19440</xdr:rowOff>
    </xdr:to>
    <xdr:pic>
      <xdr:nvPicPr>
        <xdr:cNvPr id="19" name="Image 2" descr="Picture"/>
        <xdr:cNvPicPr/>
      </xdr:nvPicPr>
      <xdr:blipFill>
        <a:blip r:embed="rId2"/>
        <a:stretch/>
      </xdr:blipFill>
      <xdr:spPr>
        <a:xfrm>
          <a:off x="9658440" y="8381880"/>
          <a:ext cx="2581200" cy="2400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20880</xdr:colOff>
      <xdr:row>6</xdr:row>
      <xdr:rowOff>152640</xdr:rowOff>
    </xdr:to>
    <xdr:pic>
      <xdr:nvPicPr>
        <xdr:cNvPr id="20" name="Image 1" descr="Picture"/>
        <xdr:cNvPicPr/>
      </xdr:nvPicPr>
      <xdr:blipFill>
        <a:blip r:embed="rId1"/>
        <a:stretch/>
      </xdr:blipFill>
      <xdr:spPr>
        <a:xfrm>
          <a:off x="9328680" y="857160"/>
          <a:ext cx="2467080" cy="386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2</xdr:row>
      <xdr:rowOff>0</xdr:rowOff>
    </xdr:from>
    <xdr:to>
      <xdr:col>12</xdr:col>
      <xdr:colOff>252000</xdr:colOff>
      <xdr:row>5</xdr:row>
      <xdr:rowOff>200160</xdr:rowOff>
    </xdr:to>
    <xdr:pic>
      <xdr:nvPicPr>
        <xdr:cNvPr id="21" name="Image 1" descr="Picture"/>
        <xdr:cNvPicPr/>
      </xdr:nvPicPr>
      <xdr:blipFill>
        <a:blip r:embed="rId1"/>
        <a:stretch/>
      </xdr:blipFill>
      <xdr:spPr>
        <a:xfrm>
          <a:off x="7639200" y="857160"/>
          <a:ext cx="2086200" cy="220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8</xdr:col>
      <xdr:colOff>971280</xdr:colOff>
      <xdr:row>36</xdr:row>
      <xdr:rowOff>160200</xdr:rowOff>
    </xdr:to>
    <xdr:graphicFrame>
      <xdr:nvGraphicFramePr>
        <xdr:cNvPr id="0" name="Chart 1"/>
        <xdr:cNvGraphicFramePr/>
      </xdr:nvGraphicFramePr>
      <xdr:xfrm>
        <a:off x="211320" y="10763280"/>
        <a:ext cx="6469200" cy="358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18</xdr:row>
      <xdr:rowOff>0</xdr:rowOff>
    </xdr:from>
    <xdr:to>
      <xdr:col>21</xdr:col>
      <xdr:colOff>354240</xdr:colOff>
      <xdr:row>36</xdr:row>
      <xdr:rowOff>160200</xdr:rowOff>
    </xdr:to>
    <xdr:graphicFrame>
      <xdr:nvGraphicFramePr>
        <xdr:cNvPr id="1" name="Chart 2"/>
        <xdr:cNvGraphicFramePr/>
      </xdr:nvGraphicFramePr>
      <xdr:xfrm>
        <a:off x="8294400" y="10763280"/>
        <a:ext cx="6469200" cy="358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20880</xdr:colOff>
      <xdr:row>6</xdr:row>
      <xdr:rowOff>162000</xdr:rowOff>
    </xdr:to>
    <xdr:pic>
      <xdr:nvPicPr>
        <xdr:cNvPr id="22" name="Image 1" descr="Picture"/>
        <xdr:cNvPicPr/>
      </xdr:nvPicPr>
      <xdr:blipFill>
        <a:blip r:embed="rId1"/>
        <a:stretch/>
      </xdr:blipFill>
      <xdr:spPr>
        <a:xfrm>
          <a:off x="9002880" y="857160"/>
          <a:ext cx="2467080" cy="2924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20880</xdr:colOff>
      <xdr:row>6</xdr:row>
      <xdr:rowOff>162000</xdr:rowOff>
    </xdr:to>
    <xdr:pic>
      <xdr:nvPicPr>
        <xdr:cNvPr id="23" name="Image 1" descr="Picture"/>
        <xdr:cNvPicPr/>
      </xdr:nvPicPr>
      <xdr:blipFill>
        <a:blip r:embed="rId1"/>
        <a:stretch/>
      </xdr:blipFill>
      <xdr:spPr>
        <a:xfrm>
          <a:off x="9002880" y="857160"/>
          <a:ext cx="2467080" cy="2924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61200</xdr:colOff>
      <xdr:row>4</xdr:row>
      <xdr:rowOff>380880</xdr:rowOff>
    </xdr:to>
    <xdr:pic>
      <xdr:nvPicPr>
        <xdr:cNvPr id="24" name="Image 1" descr="Picture"/>
        <xdr:cNvPicPr/>
      </xdr:nvPicPr>
      <xdr:blipFill>
        <a:blip r:embed="rId1"/>
        <a:stretch/>
      </xdr:blipFill>
      <xdr:spPr>
        <a:xfrm>
          <a:off x="8534520" y="1047600"/>
          <a:ext cx="2200320" cy="1619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16</xdr:col>
      <xdr:colOff>61200</xdr:colOff>
      <xdr:row>18</xdr:row>
      <xdr:rowOff>142920</xdr:rowOff>
    </xdr:to>
    <xdr:pic>
      <xdr:nvPicPr>
        <xdr:cNvPr id="25" name="Image 2" descr="Picture"/>
        <xdr:cNvPicPr/>
      </xdr:nvPicPr>
      <xdr:blipFill>
        <a:blip r:embed="rId2"/>
        <a:stretch/>
      </xdr:blipFill>
      <xdr:spPr>
        <a:xfrm>
          <a:off x="8534520" y="6858000"/>
          <a:ext cx="220032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16</xdr:col>
      <xdr:colOff>61200</xdr:colOff>
      <xdr:row>34</xdr:row>
      <xdr:rowOff>95400</xdr:rowOff>
    </xdr:to>
    <xdr:pic>
      <xdr:nvPicPr>
        <xdr:cNvPr id="26" name="Image 3" descr="Picture"/>
        <xdr:cNvPicPr/>
      </xdr:nvPicPr>
      <xdr:blipFill>
        <a:blip r:embed="rId3"/>
        <a:stretch/>
      </xdr:blipFill>
      <xdr:spPr>
        <a:xfrm>
          <a:off x="8534520" y="12573000"/>
          <a:ext cx="2200320" cy="1238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2</xdr:row>
      <xdr:rowOff>0</xdr:rowOff>
    </xdr:from>
    <xdr:to>
      <xdr:col>15</xdr:col>
      <xdr:colOff>251640</xdr:colOff>
      <xdr:row>5</xdr:row>
      <xdr:rowOff>114480</xdr:rowOff>
    </xdr:to>
    <xdr:pic>
      <xdr:nvPicPr>
        <xdr:cNvPr id="27" name="Image 1" descr="Picture"/>
        <xdr:cNvPicPr/>
      </xdr:nvPicPr>
      <xdr:blipFill>
        <a:blip r:embed="rId1"/>
        <a:stretch/>
      </xdr:blipFill>
      <xdr:spPr>
        <a:xfrm>
          <a:off x="8391600" y="666720"/>
          <a:ext cx="2390760" cy="268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15</xdr:col>
      <xdr:colOff>251640</xdr:colOff>
      <xdr:row>25</xdr:row>
      <xdr:rowOff>19080</xdr:rowOff>
    </xdr:to>
    <xdr:pic>
      <xdr:nvPicPr>
        <xdr:cNvPr id="28" name="Image 2" descr="Picture"/>
        <xdr:cNvPicPr/>
      </xdr:nvPicPr>
      <xdr:blipFill>
        <a:blip r:embed="rId2"/>
        <a:stretch/>
      </xdr:blipFill>
      <xdr:spPr>
        <a:xfrm>
          <a:off x="8391600" y="9334440"/>
          <a:ext cx="2390760" cy="1543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21240</xdr:colOff>
      <xdr:row>7</xdr:row>
      <xdr:rowOff>124200</xdr:rowOff>
    </xdr:to>
    <xdr:pic>
      <xdr:nvPicPr>
        <xdr:cNvPr id="29" name="Image 1" descr="Picture"/>
        <xdr:cNvPicPr/>
      </xdr:nvPicPr>
      <xdr:blipFill>
        <a:blip r:embed="rId1"/>
        <a:stretch/>
      </xdr:blipFill>
      <xdr:spPr>
        <a:xfrm>
          <a:off x="9729000" y="666720"/>
          <a:ext cx="2772000" cy="250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16</xdr:col>
      <xdr:colOff>442080</xdr:colOff>
      <xdr:row>31</xdr:row>
      <xdr:rowOff>123840</xdr:rowOff>
    </xdr:to>
    <xdr:pic>
      <xdr:nvPicPr>
        <xdr:cNvPr id="30" name="Image 2" descr="Picture"/>
        <xdr:cNvPicPr/>
      </xdr:nvPicPr>
      <xdr:blipFill>
        <a:blip r:embed="rId2"/>
        <a:stretch/>
      </xdr:blipFill>
      <xdr:spPr>
        <a:xfrm>
          <a:off x="9729000" y="10191600"/>
          <a:ext cx="2581200" cy="1648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442080</xdr:colOff>
      <xdr:row>5</xdr:row>
      <xdr:rowOff>162000</xdr:rowOff>
    </xdr:to>
    <xdr:pic>
      <xdr:nvPicPr>
        <xdr:cNvPr id="31" name="Image 1" descr="Picture"/>
        <xdr:cNvPicPr/>
      </xdr:nvPicPr>
      <xdr:blipFill>
        <a:blip r:embed="rId1"/>
        <a:stretch/>
      </xdr:blipFill>
      <xdr:spPr>
        <a:xfrm>
          <a:off x="11090880" y="666720"/>
          <a:ext cx="2581560" cy="235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15</xdr:col>
      <xdr:colOff>596520</xdr:colOff>
      <xdr:row>29</xdr:row>
      <xdr:rowOff>133560</xdr:rowOff>
    </xdr:to>
    <xdr:pic>
      <xdr:nvPicPr>
        <xdr:cNvPr id="32" name="Image 2" descr="Picture"/>
        <xdr:cNvPicPr/>
      </xdr:nvPicPr>
      <xdr:blipFill>
        <a:blip r:embed="rId2"/>
        <a:stretch/>
      </xdr:blipFill>
      <xdr:spPr>
        <a:xfrm>
          <a:off x="11090880" y="8953560"/>
          <a:ext cx="2124360" cy="308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15</xdr:col>
      <xdr:colOff>472680</xdr:colOff>
      <xdr:row>45</xdr:row>
      <xdr:rowOff>133200</xdr:rowOff>
    </xdr:to>
    <xdr:pic>
      <xdr:nvPicPr>
        <xdr:cNvPr id="33" name="Image 3" descr="Picture"/>
        <xdr:cNvPicPr/>
      </xdr:nvPicPr>
      <xdr:blipFill>
        <a:blip r:embed="rId3"/>
        <a:stretch/>
      </xdr:blipFill>
      <xdr:spPr>
        <a:xfrm>
          <a:off x="11090880" y="14954400"/>
          <a:ext cx="2000520" cy="28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669600</xdr:colOff>
      <xdr:row>8</xdr:row>
      <xdr:rowOff>221760</xdr:rowOff>
    </xdr:to>
    <xdr:pic>
      <xdr:nvPicPr>
        <xdr:cNvPr id="34" name="Image 1" descr="Picture"/>
        <xdr:cNvPicPr/>
      </xdr:nvPicPr>
      <xdr:blipFill>
        <a:blip r:embed="rId1"/>
        <a:stretch/>
      </xdr:blipFill>
      <xdr:spPr>
        <a:xfrm>
          <a:off x="6555240" y="762120"/>
          <a:ext cx="1515240" cy="346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10</xdr:col>
      <xdr:colOff>652320</xdr:colOff>
      <xdr:row>14</xdr:row>
      <xdr:rowOff>161280</xdr:rowOff>
    </xdr:to>
    <xdr:pic>
      <xdr:nvPicPr>
        <xdr:cNvPr id="35" name="Image 2" descr="Picture"/>
        <xdr:cNvPicPr/>
      </xdr:nvPicPr>
      <xdr:blipFill>
        <a:blip r:embed="rId2"/>
        <a:stretch/>
      </xdr:blipFill>
      <xdr:spPr>
        <a:xfrm>
          <a:off x="6555240" y="3619440"/>
          <a:ext cx="2343960" cy="286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478800</xdr:colOff>
      <xdr:row>8</xdr:row>
      <xdr:rowOff>31320</xdr:rowOff>
    </xdr:to>
    <xdr:pic>
      <xdr:nvPicPr>
        <xdr:cNvPr id="36" name="Image 1" descr="Picture"/>
        <xdr:cNvPicPr/>
      </xdr:nvPicPr>
      <xdr:blipFill>
        <a:blip r:embed="rId1"/>
        <a:stretch/>
      </xdr:blipFill>
      <xdr:spPr>
        <a:xfrm>
          <a:off x="6414120" y="952560"/>
          <a:ext cx="1324800" cy="346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669240</xdr:colOff>
      <xdr:row>12</xdr:row>
      <xdr:rowOff>56520</xdr:rowOff>
    </xdr:to>
    <xdr:pic>
      <xdr:nvPicPr>
        <xdr:cNvPr id="37" name="Image 2" descr="Picture"/>
        <xdr:cNvPicPr/>
      </xdr:nvPicPr>
      <xdr:blipFill>
        <a:blip r:embed="rId2"/>
        <a:stretch/>
      </xdr:blipFill>
      <xdr:spPr>
        <a:xfrm>
          <a:off x="6414120" y="4000680"/>
          <a:ext cx="1515240" cy="196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10</xdr:row>
      <xdr:rowOff>100800</xdr:rowOff>
    </xdr:from>
    <xdr:to>
      <xdr:col>10</xdr:col>
      <xdr:colOff>385560</xdr:colOff>
      <xdr:row>15</xdr:row>
      <xdr:rowOff>135000</xdr:rowOff>
    </xdr:to>
    <xdr:pic>
      <xdr:nvPicPr>
        <xdr:cNvPr id="38" name="Image 3" descr="Picture"/>
        <xdr:cNvPicPr/>
      </xdr:nvPicPr>
      <xdr:blipFill>
        <a:blip r:embed="rId3"/>
        <a:stretch/>
      </xdr:blipFill>
      <xdr:spPr>
        <a:xfrm>
          <a:off x="6414120" y="5244480"/>
          <a:ext cx="2077200" cy="197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204840</xdr:colOff>
      <xdr:row>9</xdr:row>
      <xdr:rowOff>319320</xdr:rowOff>
    </xdr:to>
    <xdr:pic>
      <xdr:nvPicPr>
        <xdr:cNvPr id="39" name="Image 1" descr="Picture"/>
        <xdr:cNvPicPr/>
      </xdr:nvPicPr>
      <xdr:blipFill>
        <a:blip r:embed="rId1"/>
        <a:stretch/>
      </xdr:blipFill>
      <xdr:spPr>
        <a:xfrm>
          <a:off x="6555240" y="762120"/>
          <a:ext cx="1896480" cy="3938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190800</xdr:rowOff>
    </xdr:from>
    <xdr:to>
      <xdr:col>10</xdr:col>
      <xdr:colOff>385560</xdr:colOff>
      <xdr:row>12</xdr:row>
      <xdr:rowOff>114120</xdr:rowOff>
    </xdr:to>
    <xdr:pic>
      <xdr:nvPicPr>
        <xdr:cNvPr id="40" name="Image 2" descr="Picture"/>
        <xdr:cNvPicPr/>
      </xdr:nvPicPr>
      <xdr:blipFill>
        <a:blip r:embed="rId2"/>
        <a:stretch/>
      </xdr:blipFill>
      <xdr:spPr>
        <a:xfrm>
          <a:off x="6555240" y="3810240"/>
          <a:ext cx="2077200" cy="1866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547560</xdr:colOff>
      <xdr:row>8</xdr:row>
      <xdr:rowOff>280080</xdr:rowOff>
    </xdr:to>
    <xdr:pic>
      <xdr:nvPicPr>
        <xdr:cNvPr id="41" name="Image 1" descr="Picture"/>
        <xdr:cNvPicPr/>
      </xdr:nvPicPr>
      <xdr:blipFill>
        <a:blip r:embed="rId1"/>
        <a:stretch/>
      </xdr:blipFill>
      <xdr:spPr>
        <a:xfrm>
          <a:off x="6696000" y="952560"/>
          <a:ext cx="2239200" cy="3518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14400</xdr:colOff>
      <xdr:row>8</xdr:row>
      <xdr:rowOff>280080</xdr:rowOff>
    </xdr:to>
    <xdr:pic>
      <xdr:nvPicPr>
        <xdr:cNvPr id="42" name="Image 1" descr="Picture"/>
        <xdr:cNvPicPr/>
      </xdr:nvPicPr>
      <xdr:blipFill>
        <a:blip r:embed="rId1"/>
        <a:stretch/>
      </xdr:blipFill>
      <xdr:spPr>
        <a:xfrm>
          <a:off x="6414120" y="762120"/>
          <a:ext cx="1706040" cy="3899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9</xdr:col>
      <xdr:colOff>478800</xdr:colOff>
      <xdr:row>9</xdr:row>
      <xdr:rowOff>300960</xdr:rowOff>
    </xdr:to>
    <xdr:pic>
      <xdr:nvPicPr>
        <xdr:cNvPr id="43" name="Image 2" descr="Picture"/>
        <xdr:cNvPicPr/>
      </xdr:nvPicPr>
      <xdr:blipFill>
        <a:blip r:embed="rId2"/>
        <a:stretch/>
      </xdr:blipFill>
      <xdr:spPr>
        <a:xfrm>
          <a:off x="6414120" y="3429000"/>
          <a:ext cx="1324800" cy="1824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8</xdr:row>
      <xdr:rowOff>345600</xdr:rowOff>
    </xdr:from>
    <xdr:to>
      <xdr:col>10</xdr:col>
      <xdr:colOff>585720</xdr:colOff>
      <xdr:row>13</xdr:row>
      <xdr:rowOff>172800</xdr:rowOff>
    </xdr:to>
    <xdr:pic>
      <xdr:nvPicPr>
        <xdr:cNvPr id="44" name="Image 3" descr="Picture"/>
        <xdr:cNvPicPr/>
      </xdr:nvPicPr>
      <xdr:blipFill>
        <a:blip r:embed="rId3"/>
        <a:stretch/>
      </xdr:blipFill>
      <xdr:spPr>
        <a:xfrm>
          <a:off x="6414120" y="4727160"/>
          <a:ext cx="2277360" cy="211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11</xdr:row>
      <xdr:rowOff>105480</xdr:rowOff>
    </xdr:from>
    <xdr:to>
      <xdr:col>10</xdr:col>
      <xdr:colOff>776160</xdr:colOff>
      <xdr:row>17</xdr:row>
      <xdr:rowOff>70200</xdr:rowOff>
    </xdr:to>
    <xdr:pic>
      <xdr:nvPicPr>
        <xdr:cNvPr id="45" name="Image 4" descr="Picture"/>
        <xdr:cNvPicPr/>
      </xdr:nvPicPr>
      <xdr:blipFill>
        <a:blip r:embed="rId4"/>
        <a:stretch/>
      </xdr:blipFill>
      <xdr:spPr>
        <a:xfrm>
          <a:off x="6414120" y="6201360"/>
          <a:ext cx="2467800" cy="1603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14400</xdr:colOff>
      <xdr:row>8</xdr:row>
      <xdr:rowOff>167400</xdr:rowOff>
    </xdr:to>
    <xdr:pic>
      <xdr:nvPicPr>
        <xdr:cNvPr id="46" name="Image 1" descr="Picture"/>
        <xdr:cNvPicPr/>
      </xdr:nvPicPr>
      <xdr:blipFill>
        <a:blip r:embed="rId1"/>
        <a:stretch/>
      </xdr:blipFill>
      <xdr:spPr>
        <a:xfrm>
          <a:off x="6555240" y="571680"/>
          <a:ext cx="1706040" cy="3596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190440</xdr:rowOff>
    </xdr:from>
    <xdr:to>
      <xdr:col>9</xdr:col>
      <xdr:colOff>479160</xdr:colOff>
      <xdr:row>9</xdr:row>
      <xdr:rowOff>379080</xdr:rowOff>
    </xdr:to>
    <xdr:pic>
      <xdr:nvPicPr>
        <xdr:cNvPr id="47" name="Image 2" descr="Picture"/>
        <xdr:cNvPicPr/>
      </xdr:nvPicPr>
      <xdr:blipFill>
        <a:blip r:embed="rId2"/>
        <a:stretch/>
      </xdr:blipFill>
      <xdr:spPr>
        <a:xfrm>
          <a:off x="6555240" y="3238560"/>
          <a:ext cx="1324800" cy="171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9</xdr:row>
      <xdr:rowOff>6840</xdr:rowOff>
    </xdr:from>
    <xdr:to>
      <xdr:col>10</xdr:col>
      <xdr:colOff>385560</xdr:colOff>
      <xdr:row>11</xdr:row>
      <xdr:rowOff>423000</xdr:rowOff>
    </xdr:to>
    <xdr:pic>
      <xdr:nvPicPr>
        <xdr:cNvPr id="48" name="Image 3" descr="Picture"/>
        <xdr:cNvPicPr/>
      </xdr:nvPicPr>
      <xdr:blipFill>
        <a:blip r:embed="rId3"/>
        <a:stretch/>
      </xdr:blipFill>
      <xdr:spPr>
        <a:xfrm>
          <a:off x="6555240" y="4578840"/>
          <a:ext cx="2077200" cy="1559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669600</xdr:colOff>
      <xdr:row>7</xdr:row>
      <xdr:rowOff>167400</xdr:rowOff>
    </xdr:to>
    <xdr:pic>
      <xdr:nvPicPr>
        <xdr:cNvPr id="49" name="Image 1" descr="Picture"/>
        <xdr:cNvPicPr/>
      </xdr:nvPicPr>
      <xdr:blipFill>
        <a:blip r:embed="rId1"/>
        <a:stretch/>
      </xdr:blipFill>
      <xdr:spPr>
        <a:xfrm>
          <a:off x="7119000" y="1143000"/>
          <a:ext cx="1515240" cy="3025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78120</xdr:rowOff>
    </xdr:from>
    <xdr:to>
      <xdr:col>10</xdr:col>
      <xdr:colOff>299880</xdr:colOff>
      <xdr:row>9</xdr:row>
      <xdr:rowOff>20520</xdr:rowOff>
    </xdr:to>
    <xdr:pic>
      <xdr:nvPicPr>
        <xdr:cNvPr id="50" name="Image 2" descr="Picture"/>
        <xdr:cNvPicPr/>
      </xdr:nvPicPr>
      <xdr:blipFill>
        <a:blip r:embed="rId2"/>
        <a:stretch/>
      </xdr:blipFill>
      <xdr:spPr>
        <a:xfrm>
          <a:off x="7119000" y="3507120"/>
          <a:ext cx="1991520" cy="1657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13</xdr:row>
      <xdr:rowOff>0</xdr:rowOff>
    </xdr:from>
    <xdr:to>
      <xdr:col>6</xdr:col>
      <xdr:colOff>251280</xdr:colOff>
      <xdr:row>21</xdr:row>
      <xdr:rowOff>165960</xdr:rowOff>
    </xdr:to>
    <xdr:graphicFrame>
      <xdr:nvGraphicFramePr>
        <xdr:cNvPr id="2" name="Chart 1"/>
        <xdr:cNvGraphicFramePr/>
      </xdr:nvGraphicFramePr>
      <xdr:xfrm>
        <a:off x="211320" y="10001160"/>
        <a:ext cx="5749200" cy="492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26</xdr:row>
      <xdr:rowOff>0</xdr:rowOff>
    </xdr:from>
    <xdr:to>
      <xdr:col>7</xdr:col>
      <xdr:colOff>563760</xdr:colOff>
      <xdr:row>54</xdr:row>
      <xdr:rowOff>55440</xdr:rowOff>
    </xdr:to>
    <xdr:graphicFrame>
      <xdr:nvGraphicFramePr>
        <xdr:cNvPr id="3" name="Chart 1"/>
        <xdr:cNvGraphicFramePr/>
      </xdr:nvGraphicFramePr>
      <xdr:xfrm>
        <a:off x="211320" y="11620440"/>
        <a:ext cx="7189560" cy="538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14</xdr:col>
      <xdr:colOff>131400</xdr:colOff>
      <xdr:row>16</xdr:row>
      <xdr:rowOff>66600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8435520" y="3714840"/>
          <a:ext cx="4105080" cy="5972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19</xdr:col>
      <xdr:colOff>401760</xdr:colOff>
      <xdr:row>12</xdr:row>
      <xdr:rowOff>180720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7459920" y="476280"/>
          <a:ext cx="3152520" cy="722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19</xdr:col>
      <xdr:colOff>344520</xdr:colOff>
      <xdr:row>26</xdr:row>
      <xdr:rowOff>181080</xdr:rowOff>
    </xdr:to>
    <xdr:pic>
      <xdr:nvPicPr>
        <xdr:cNvPr id="6" name="Image 2" descr="Picture"/>
        <xdr:cNvPicPr/>
      </xdr:nvPicPr>
      <xdr:blipFill>
        <a:blip r:embed="rId2"/>
        <a:stretch/>
      </xdr:blipFill>
      <xdr:spPr>
        <a:xfrm>
          <a:off x="7459920" y="9239400"/>
          <a:ext cx="3095280" cy="399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17</xdr:col>
      <xdr:colOff>548640</xdr:colOff>
      <xdr:row>12</xdr:row>
      <xdr:rowOff>380880</xdr:rowOff>
    </xdr:to>
    <xdr:pic>
      <xdr:nvPicPr>
        <xdr:cNvPr id="7" name="Image 1" descr="Picture"/>
        <xdr:cNvPicPr/>
      </xdr:nvPicPr>
      <xdr:blipFill>
        <a:blip r:embed="rId1"/>
        <a:stretch/>
      </xdr:blipFill>
      <xdr:spPr>
        <a:xfrm>
          <a:off x="7882920" y="476280"/>
          <a:ext cx="2076480" cy="704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548640</xdr:colOff>
      <xdr:row>28</xdr:row>
      <xdr:rowOff>85320</xdr:rowOff>
    </xdr:to>
    <xdr:pic>
      <xdr:nvPicPr>
        <xdr:cNvPr id="8" name="Image 2" descr="Picture"/>
        <xdr:cNvPicPr/>
      </xdr:nvPicPr>
      <xdr:blipFill>
        <a:blip r:embed="rId2"/>
        <a:stretch/>
      </xdr:blipFill>
      <xdr:spPr>
        <a:xfrm>
          <a:off x="7882920" y="9620280"/>
          <a:ext cx="2076480" cy="389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14</xdr:col>
      <xdr:colOff>327600</xdr:colOff>
      <xdr:row>16</xdr:row>
      <xdr:rowOff>57240</xdr:rowOff>
    </xdr:to>
    <xdr:pic>
      <xdr:nvPicPr>
        <xdr:cNvPr id="9" name="Image 1" descr="Picture"/>
        <xdr:cNvPicPr/>
      </xdr:nvPicPr>
      <xdr:blipFill>
        <a:blip r:embed="rId1"/>
        <a:stretch/>
      </xdr:blipFill>
      <xdr:spPr>
        <a:xfrm>
          <a:off x="7307640" y="447840"/>
          <a:ext cx="2162160" cy="824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EN10025_Steel_Grades_Comparison.xlsx" TargetMode="Externa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true"/>
  </sheetPr>
  <dimension ref="A1:N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8"/>
    <col collapsed="false" customWidth="true" hidden="false" outlineLevel="0" max="10" min="4" style="1" width="16"/>
    <col collapsed="false" customWidth="true" hidden="true" outlineLevel="0" max="15" min="14" style="1" width="13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27.75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</row>
    <row r="3" customFormat="false" ht="105" hidden="false" customHeight="true" outlineLevel="0" collapsed="false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N4" s="1" t="s">
        <v>2</v>
      </c>
    </row>
    <row r="5" customFormat="false" ht="45" hidden="false" customHeight="true" outlineLevel="0" collapsed="false">
      <c r="A5" s="2"/>
      <c r="B5" s="5" t="s">
        <v>3</v>
      </c>
      <c r="C5" s="5"/>
      <c r="D5" s="6"/>
      <c r="E5" s="6"/>
      <c r="F5" s="6"/>
      <c r="G5" s="6"/>
      <c r="H5" s="6"/>
      <c r="I5" s="7" t="str">
        <f aca="false">IF(TRIM($D$5)="","← Type a keyword",IFERROR(SearchDB!$L$2222&amp;" results","0 results"))</f>
        <v>← Type a keyword</v>
      </c>
      <c r="J5" s="7"/>
      <c r="N5" s="1" t="str">
        <f aca="false">IFERROR(LOWER(TRIM(LEFT(SUBSTITUTE(TRIM($D$5)&amp;" "," ",REPT(" ",100)),100))),"")</f>
        <v/>
      </c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N6" s="1" t="str">
        <f aca="false">IFERROR(LOWER(TRIM(MID(SUBSTITUTE(TRIM($D$5)&amp;" "," ",REPT(" ",100)),101,100))),"")</f>
        <v/>
      </c>
    </row>
    <row r="7" customFormat="false" ht="30" hidden="false" customHeight="true" outlineLevel="0" collapsed="false">
      <c r="A7" s="2"/>
      <c r="B7" s="8" t="s">
        <v>4</v>
      </c>
      <c r="C7" s="2"/>
      <c r="D7" s="9" t="s">
        <v>5</v>
      </c>
      <c r="E7" s="10" t="s">
        <v>6</v>
      </c>
      <c r="F7" s="2"/>
      <c r="G7" s="2"/>
      <c r="H7" s="2"/>
      <c r="I7" s="2"/>
      <c r="J7" s="2"/>
      <c r="N7" s="1" t="str">
        <f aca="false">IFERROR(LOWER(TRIM(MID(SUBSTITUTE(TRIM($D$5)&amp;" "," ",REPT(" ",100)),201,100))),"")</f>
        <v/>
      </c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N8" s="1" t="str">
        <f aca="false">IFERROR(LOWER(TRIM(MID(SUBSTITUTE(TRIM($D$5)&amp;" "," ",REPT(" ",100)),301,100))),"")</f>
        <v/>
      </c>
    </row>
    <row r="9" customFormat="false" ht="17.25" hidden="false" customHeight="true" outlineLevel="0" collapsed="false">
      <c r="A9" s="11"/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  <c r="N9" s="11"/>
    </row>
    <row r="10" customFormat="false" ht="15" hidden="false" customHeight="true" outlineLevel="0" collapsed="false">
      <c r="A10" s="11"/>
      <c r="B10" s="13" t="s">
        <v>8</v>
      </c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  <c r="N10" s="11"/>
    </row>
    <row r="11" customFormat="false" ht="15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customFormat="false" ht="15" hidden="false" customHeight="true" outlineLevel="0" collapsed="false">
      <c r="A12" s="11"/>
      <c r="B12" s="14" t="s">
        <v>9</v>
      </c>
      <c r="C12" s="14"/>
      <c r="D12" s="15" t="s">
        <v>10</v>
      </c>
      <c r="E12" s="15"/>
      <c r="F12" s="15"/>
      <c r="G12" s="15"/>
      <c r="H12" s="15"/>
      <c r="I12" s="15"/>
      <c r="J12" s="15"/>
      <c r="K12" s="11"/>
      <c r="L12" s="11"/>
      <c r="M12" s="11"/>
      <c r="N12" s="11"/>
    </row>
    <row r="13" customFormat="false" ht="15" hidden="false" customHeight="true" outlineLevel="0" collapsed="false">
      <c r="A13" s="11"/>
      <c r="B13" s="14" t="s">
        <v>11</v>
      </c>
      <c r="C13" s="14"/>
      <c r="D13" s="15" t="s">
        <v>12</v>
      </c>
      <c r="E13" s="15"/>
      <c r="F13" s="15"/>
      <c r="G13" s="15"/>
      <c r="H13" s="15"/>
      <c r="I13" s="15"/>
      <c r="J13" s="15"/>
      <c r="K13" s="11"/>
      <c r="L13" s="11"/>
      <c r="M13" s="11"/>
      <c r="N13" s="11"/>
    </row>
    <row r="14" customFormat="false" ht="15" hidden="false" customHeight="true" outlineLevel="0" collapsed="false">
      <c r="A14" s="11"/>
      <c r="B14" s="14" t="s">
        <v>13</v>
      </c>
      <c r="C14" s="14"/>
      <c r="D14" s="15" t="s">
        <v>14</v>
      </c>
      <c r="E14" s="15"/>
      <c r="F14" s="15"/>
      <c r="G14" s="15"/>
      <c r="H14" s="15"/>
      <c r="I14" s="15"/>
      <c r="J14" s="15"/>
      <c r="K14" s="11"/>
      <c r="L14" s="11"/>
      <c r="M14" s="11"/>
      <c r="N14" s="11"/>
    </row>
    <row r="15" customFormat="false" ht="15" hidden="false" customHeight="true" outlineLevel="0" collapsed="false">
      <c r="A15" s="11"/>
      <c r="B15" s="14" t="s">
        <v>15</v>
      </c>
      <c r="C15" s="14"/>
      <c r="D15" s="15" t="s">
        <v>16</v>
      </c>
      <c r="E15" s="15"/>
      <c r="F15" s="15"/>
      <c r="G15" s="15"/>
      <c r="H15" s="15"/>
      <c r="I15" s="15"/>
      <c r="J15" s="15"/>
      <c r="K15" s="11"/>
      <c r="L15" s="11"/>
      <c r="M15" s="11"/>
      <c r="N15" s="11"/>
    </row>
    <row r="16" customFormat="false" ht="1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customFormat="false" ht="15" hidden="false" customHeight="true" outlineLevel="0" collapsed="false">
      <c r="A17" s="11"/>
      <c r="B17" s="16" t="s">
        <v>17</v>
      </c>
      <c r="C17" s="16"/>
      <c r="D17" s="16"/>
      <c r="E17" s="16"/>
      <c r="F17" s="16"/>
      <c r="G17" s="16"/>
      <c r="H17" s="16"/>
      <c r="I17" s="16"/>
      <c r="J17" s="16"/>
      <c r="K17" s="11"/>
      <c r="L17" s="11"/>
      <c r="M17" s="11"/>
      <c r="N17" s="11"/>
    </row>
    <row r="18" customFormat="false" ht="15" hidden="false" customHeight="true" outlineLevel="0" collapsed="false">
      <c r="A18" s="11"/>
      <c r="B18" s="17" t="s">
        <v>18</v>
      </c>
      <c r="C18" s="17"/>
      <c r="D18" s="17"/>
      <c r="E18" s="18" t="s">
        <v>19</v>
      </c>
      <c r="F18" s="18"/>
      <c r="G18" s="18" t="s">
        <v>20</v>
      </c>
      <c r="H18" s="18"/>
      <c r="I18" s="18"/>
      <c r="J18" s="18"/>
      <c r="K18" s="11"/>
      <c r="L18" s="11"/>
      <c r="M18" s="11"/>
      <c r="N18" s="11"/>
    </row>
    <row r="19" customFormat="false" ht="18" hidden="false" customHeight="true" outlineLevel="0" collapsed="false">
      <c r="A19" s="2"/>
      <c r="B19" s="17" t="s">
        <v>21</v>
      </c>
      <c r="C19" s="17"/>
      <c r="D19" s="17"/>
      <c r="E19" s="18" t="s">
        <v>22</v>
      </c>
      <c r="F19" s="18"/>
      <c r="G19" s="18" t="s">
        <v>23</v>
      </c>
      <c r="H19" s="18"/>
      <c r="I19" s="18"/>
      <c r="J19" s="18"/>
    </row>
    <row r="20" customFormat="false" ht="18" hidden="false" customHeight="true" outlineLevel="0" collapsed="false">
      <c r="A20" s="2"/>
      <c r="B20" s="17" t="s">
        <v>24</v>
      </c>
      <c r="C20" s="17"/>
      <c r="D20" s="17"/>
      <c r="E20" s="18" t="s">
        <v>25</v>
      </c>
      <c r="F20" s="18"/>
      <c r="G20" s="18" t="s">
        <v>26</v>
      </c>
      <c r="H20" s="18"/>
      <c r="I20" s="18"/>
      <c r="J20" s="18"/>
    </row>
    <row r="21" customFormat="false" ht="18" hidden="false" customHeight="true" outlineLevel="0" collapsed="false">
      <c r="A21" s="2"/>
      <c r="B21" s="17" t="s">
        <v>27</v>
      </c>
      <c r="C21" s="17"/>
      <c r="D21" s="17"/>
      <c r="E21" s="18" t="s">
        <v>28</v>
      </c>
      <c r="F21" s="18"/>
      <c r="G21" s="18" t="s">
        <v>29</v>
      </c>
      <c r="H21" s="18"/>
      <c r="I21" s="18"/>
      <c r="J21" s="18"/>
    </row>
    <row r="22" customFormat="false" ht="27.75" hidden="false" customHeight="true" outlineLevel="0" collapsed="false">
      <c r="A22" s="2"/>
      <c r="B22" s="17" t="s">
        <v>30</v>
      </c>
      <c r="C22" s="17"/>
      <c r="D22" s="17"/>
      <c r="E22" s="18" t="s">
        <v>31</v>
      </c>
      <c r="F22" s="18"/>
      <c r="G22" s="18" t="s">
        <v>32</v>
      </c>
      <c r="H22" s="18"/>
      <c r="I22" s="18"/>
      <c r="J22" s="18"/>
    </row>
    <row r="23" customFormat="false" ht="27.75" hidden="false" customHeight="true" outlineLevel="0" collapsed="false">
      <c r="A23" s="2"/>
      <c r="B23" s="17" t="s">
        <v>33</v>
      </c>
      <c r="C23" s="17"/>
      <c r="D23" s="17"/>
      <c r="E23" s="18" t="s">
        <v>34</v>
      </c>
      <c r="F23" s="18"/>
    </row>
    <row r="24" customFormat="false" ht="15" hidden="false" customHeight="tru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customFormat="false" ht="15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customFormat="false" ht="15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customFormat="false" ht="15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customFormat="false" ht="15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customFormat="false" ht="15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customFormat="false" ht="15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customFormat="false" ht="15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customFormat="false" ht="15" hidden="false" customHeight="tru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customFormat="false" ht="15" hidden="false" customHeight="tru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customFormat="false" ht="15" hidden="false" customHeight="tru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customFormat="false" ht="15" hidden="false" customHeight="tru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customFormat="false" ht="15" hidden="false" customHeight="tru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customFormat="false" ht="15" hidden="false" customHeight="tru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customFormat="false" ht="15" hidden="false" customHeight="true" outlineLevel="0" collapsed="fals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customFormat="false" ht="15" hidden="false" customHeight="tru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customFormat="false" ht="15" hidden="false" customHeight="true" outlineLevel="0" collapsed="fals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customFormat="false" ht="15" hidden="false" customHeight="true" outlineLevel="0" collapsed="fals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customFormat="false" ht="15" hidden="false" customHeight="true" outlineLevel="0" collapsed="fals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customFormat="false" ht="15" hidden="false" customHeight="tru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customFormat="false" ht="15" hidden="false" customHeight="tru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customFormat="false" ht="15" hidden="false" customHeight="true" outlineLevel="0" collapsed="fals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customFormat="false" ht="15" hidden="false" customHeight="true" outlineLevel="0" collapsed="fals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customFormat="false" ht="15" hidden="false" customHeight="true" outlineLevel="0" collapsed="fals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customFormat="false" ht="15" hidden="false" customHeight="true" outlineLevel="0" collapsed="fals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customFormat="false" ht="15" hidden="false" customHeight="tru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customFormat="false" ht="15" hidden="false" customHeight="true" outlineLevel="0" collapsed="fals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customFormat="false" ht="15" hidden="false" customHeight="tru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customFormat="false" ht="15" hidden="false" customHeight="true" outlineLevel="0" collapsed="fals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customFormat="false" ht="15" hidden="false" customHeight="tru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customFormat="false" ht="15" hidden="false" customHeight="true" outlineLevel="0" collapsed="fals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customFormat="false" ht="15" hidden="false" customHeight="tru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customFormat="false" ht="15" hidden="false" customHeight="true" outlineLevel="0" collapsed="fals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customFormat="false" ht="15" hidden="false" customHeight="true" outlineLevel="0" collapsed="fals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customFormat="false" ht="15" hidden="false" customHeight="true" outlineLevel="0" collapsed="fals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33">
    <mergeCell ref="B2:J2"/>
    <mergeCell ref="B3:J3"/>
    <mergeCell ref="B5:C5"/>
    <mergeCell ref="D5:H5"/>
    <mergeCell ref="I5:J5"/>
    <mergeCell ref="B9:J9"/>
    <mergeCell ref="B10:J10"/>
    <mergeCell ref="B12:C12"/>
    <mergeCell ref="D12:J12"/>
    <mergeCell ref="B13:C13"/>
    <mergeCell ref="D13:J13"/>
    <mergeCell ref="B14:C14"/>
    <mergeCell ref="D14:J14"/>
    <mergeCell ref="B15:C15"/>
    <mergeCell ref="D15:J15"/>
    <mergeCell ref="B17:J17"/>
    <mergeCell ref="B18:D18"/>
    <mergeCell ref="E18:F18"/>
    <mergeCell ref="G18:J18"/>
    <mergeCell ref="B19:D19"/>
    <mergeCell ref="E19:F19"/>
    <mergeCell ref="G19:J19"/>
    <mergeCell ref="B20:D20"/>
    <mergeCell ref="E20:F20"/>
    <mergeCell ref="G20:J20"/>
    <mergeCell ref="B21:D21"/>
    <mergeCell ref="E21:F21"/>
    <mergeCell ref="G21:J21"/>
    <mergeCell ref="B22:D22"/>
    <mergeCell ref="E22:F22"/>
    <mergeCell ref="G22:J22"/>
    <mergeCell ref="B23:D23"/>
    <mergeCell ref="E23:F23"/>
  </mergeCells>
  <dataValidations count="1">
    <dataValidation allowBlank="true" error="Please select from the list" errorStyle="stop" operator="between" prompt="Select category to filter" showDropDown="false" showErrorMessage="false" showInputMessage="false" sqref="D7" type="list">
      <formula1>"(All),EN 10025 Analysis,Cross-Material,SS Catalogue,MS Catalogue,Fischer Anchors,Calculators,Reference"</formula1>
      <formula2>0</formula2>
    </dataValidation>
  </dataValidations>
  <hyperlinks>
    <hyperlink ref="E7" location="'Search Results'!A1" display="→ View Results"/>
    <hyperlink ref="B9" location="'Master Overview'!A1" display="Application compare — quick presets"/>
    <hyperlink ref="B10" location="'Overview'!A1" display="Click any preset below to jump to a curated side-by-side comparison for common Singapore at-height applications."/>
    <hyperlink ref="B12" location="'Application Compare'!B4" display="→  Handrail"/>
    <hyperlink ref="B13" location="'Application Compare'!B20" display="→  Platforms"/>
    <hyperlink ref="B14" location="'Application Compare'!B36" display="→  Cat ladders"/>
    <hyperlink ref="B15" location="'Application Compare'!B53" display="→  Ramps"/>
    <hyperlink ref="B17" location="'Design Standards'!A1" display="Quick access — click any sheet to jump"/>
    <hyperlink ref="B18" location="'Master Overview'!A1" display="Master Overview"/>
    <hyperlink ref="E18" location="Overview!A1" display="Overview"/>
    <hyperlink ref="G18" location="'Yield Strength'!A1" display="Yield Strength"/>
    <hyperlink ref="B19" location="'Tensile Strength'!A1" display="Tensile Strength"/>
    <hyperlink ref="E19" location="'Impact Properties'!A1" display="Impact Properties"/>
    <hyperlink ref="G19" location="'Grade Comparison'!A1" display="Grade Comparison"/>
    <hyperlink ref="B20" location="Weldability!A1" display="Weldability"/>
    <hyperlink ref="E20" location="'Cross-Material Strength'!A1" display="Cross-Material Strength"/>
    <hyperlink ref="G20" location="'Strength-to-Weight'!A1" display="Strength-to-Weight"/>
    <hyperlink ref="B21" location="'Design Standards'!A1" display="Design Standards"/>
    <hyperlink ref="E21" location="'SS Catalogue (TSA)'!A1" display="SS Catalogue (TSA)"/>
    <hyperlink ref="G21" location="'MS Catalogue (JYF)'!A1" display="MS Catalogue (JYF)"/>
    <hyperlink ref="B22" location="'Application Compare'!A1" display="Application Compare"/>
    <hyperlink ref="E22" location="'Weight Calculator'!A1" display="Weight Calculator"/>
    <hyperlink ref="G22" location="'Cost Estimator'!A1" display="Cost Estimator"/>
    <hyperlink ref="B23" location="'Equiv Section Finder'!A1" display="Equiv Section Finder"/>
    <hyperlink ref="E23" location="Glossary!A1" display="Glossar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4454"/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5" min="3" style="1" width="18"/>
    <col collapsed="false" customWidth="true" hidden="false" outlineLevel="0" max="6" min="6" style="1" width="20"/>
    <col collapsed="false" customWidth="true" hidden="false" outlineLevel="0" max="12" min="7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75" hidden="false" customHeight="true" outlineLevel="0" collapsed="false">
      <c r="A2" s="2"/>
      <c r="B2" s="84" t="s">
        <v>467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customFormat="false" ht="90" hidden="false" customHeight="true" outlineLevel="0" collapsed="false">
      <c r="A3" s="2"/>
      <c r="B3" s="85" t="s">
        <v>468</v>
      </c>
      <c r="C3" s="85"/>
      <c r="D3" s="85"/>
      <c r="E3" s="85"/>
      <c r="F3" s="85"/>
      <c r="G3" s="85"/>
      <c r="H3" s="85"/>
      <c r="I3" s="85"/>
      <c r="J3" s="85"/>
      <c r="K3" s="85"/>
      <c r="L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106" t="s">
        <v>469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customFormat="false" ht="30" hidden="false" customHeight="true" outlineLevel="0" collapsed="false">
      <c r="A6" s="2"/>
      <c r="B6" s="88" t="s">
        <v>470</v>
      </c>
      <c r="C6" s="88" t="s">
        <v>471</v>
      </c>
      <c r="D6" s="88" t="s">
        <v>472</v>
      </c>
      <c r="E6" s="88" t="s">
        <v>473</v>
      </c>
      <c r="F6" s="88" t="s">
        <v>474</v>
      </c>
      <c r="G6" s="2"/>
      <c r="H6" s="2"/>
      <c r="I6" s="2"/>
      <c r="J6" s="2"/>
      <c r="K6" s="2"/>
      <c r="L6" s="2"/>
    </row>
    <row r="7" customFormat="false" ht="60" hidden="false" customHeight="true" outlineLevel="0" collapsed="false">
      <c r="A7" s="2"/>
      <c r="B7" s="107" t="s">
        <v>476</v>
      </c>
      <c r="C7" s="108" t="s">
        <v>477</v>
      </c>
      <c r="D7" s="109" t="n">
        <v>27</v>
      </c>
      <c r="E7" s="110" t="s">
        <v>479</v>
      </c>
      <c r="F7" s="110" t="s">
        <v>480</v>
      </c>
      <c r="G7" s="2"/>
      <c r="H7" s="2"/>
      <c r="I7" s="2"/>
      <c r="J7" s="2"/>
      <c r="K7" s="2"/>
      <c r="L7" s="2"/>
    </row>
    <row r="8" customFormat="false" ht="60" hidden="false" customHeight="true" outlineLevel="0" collapsed="false">
      <c r="A8" s="2"/>
      <c r="B8" s="111" t="s">
        <v>482</v>
      </c>
      <c r="C8" s="112" t="s">
        <v>483</v>
      </c>
      <c r="D8" s="113" t="n">
        <v>27</v>
      </c>
      <c r="E8" s="114" t="s">
        <v>484</v>
      </c>
      <c r="F8" s="114" t="s">
        <v>485</v>
      </c>
      <c r="G8" s="2"/>
      <c r="H8" s="2"/>
      <c r="I8" s="2"/>
      <c r="J8" s="2"/>
      <c r="K8" s="2"/>
      <c r="L8" s="2"/>
    </row>
    <row r="9" customFormat="false" ht="75" hidden="false" customHeight="true" outlineLevel="0" collapsed="false">
      <c r="A9" s="2"/>
      <c r="B9" s="115" t="s">
        <v>487</v>
      </c>
      <c r="C9" s="116" t="s">
        <v>488</v>
      </c>
      <c r="D9" s="117" t="n">
        <v>27</v>
      </c>
      <c r="E9" s="118" t="s">
        <v>489</v>
      </c>
      <c r="F9" s="118" t="s">
        <v>485</v>
      </c>
      <c r="G9" s="2"/>
      <c r="H9" s="2"/>
      <c r="I9" s="2"/>
      <c r="J9" s="2"/>
      <c r="K9" s="2"/>
      <c r="L9" s="2"/>
    </row>
    <row r="10" customFormat="false" ht="75" hidden="false" customHeight="true" outlineLevel="0" collapsed="false">
      <c r="A10" s="2"/>
      <c r="B10" s="119" t="s">
        <v>491</v>
      </c>
      <c r="C10" s="120" t="s">
        <v>488</v>
      </c>
      <c r="D10" s="121" t="n">
        <v>40</v>
      </c>
      <c r="E10" s="122" t="s">
        <v>493</v>
      </c>
      <c r="F10" s="122" t="s">
        <v>494</v>
      </c>
      <c r="G10" s="2"/>
      <c r="H10" s="2"/>
      <c r="I10" s="2"/>
      <c r="J10" s="2"/>
      <c r="K10" s="2"/>
      <c r="L10" s="2"/>
    </row>
    <row r="11" customFormat="false" ht="75" hidden="false" customHeight="true" outlineLevel="0" collapsed="false">
      <c r="A11" s="2"/>
      <c r="B11" s="123" t="s">
        <v>496</v>
      </c>
      <c r="C11" s="124" t="s">
        <v>488</v>
      </c>
      <c r="D11" s="125" t="n">
        <v>27</v>
      </c>
      <c r="E11" s="126" t="s">
        <v>497</v>
      </c>
      <c r="F11" s="126" t="s">
        <v>498</v>
      </c>
      <c r="G11" s="2"/>
      <c r="H11" s="2"/>
      <c r="I11" s="2"/>
      <c r="J11" s="2"/>
      <c r="K11" s="2"/>
      <c r="L11" s="2"/>
    </row>
    <row r="12" customFormat="false" ht="75" hidden="false" customHeight="true" outlineLevel="0" collapsed="false">
      <c r="A12" s="2"/>
      <c r="B12" s="127" t="s">
        <v>500</v>
      </c>
      <c r="C12" s="128" t="s">
        <v>501</v>
      </c>
      <c r="D12" s="129" t="n">
        <v>27</v>
      </c>
      <c r="E12" s="130" t="s">
        <v>502</v>
      </c>
      <c r="F12" s="130" t="s">
        <v>498</v>
      </c>
      <c r="G12" s="2"/>
      <c r="H12" s="2"/>
      <c r="I12" s="2"/>
      <c r="J12" s="2"/>
      <c r="K12" s="2"/>
      <c r="L12" s="2"/>
    </row>
    <row r="13" customFormat="false" ht="60" hidden="false" customHeight="true" outlineLevel="0" collapsed="false">
      <c r="A13" s="2"/>
      <c r="B13" s="131" t="s">
        <v>504</v>
      </c>
      <c r="C13" s="132" t="s">
        <v>488</v>
      </c>
      <c r="D13" s="133" t="n">
        <v>27</v>
      </c>
      <c r="E13" s="134" t="s">
        <v>505</v>
      </c>
      <c r="F13" s="134" t="s">
        <v>506</v>
      </c>
      <c r="G13" s="2"/>
      <c r="H13" s="2"/>
      <c r="I13" s="2"/>
      <c r="J13" s="2"/>
      <c r="K13" s="2"/>
      <c r="L13" s="2"/>
    </row>
    <row r="14" customFormat="false" ht="60" hidden="false" customHeight="true" outlineLevel="0" collapsed="false">
      <c r="A14" s="2"/>
      <c r="B14" s="135" t="s">
        <v>508</v>
      </c>
      <c r="C14" s="136" t="s">
        <v>509</v>
      </c>
      <c r="D14" s="137" t="n">
        <v>27</v>
      </c>
      <c r="E14" s="138" t="s">
        <v>510</v>
      </c>
      <c r="F14" s="138" t="s">
        <v>506</v>
      </c>
      <c r="G14" s="2"/>
      <c r="H14" s="2"/>
      <c r="I14" s="2"/>
      <c r="J14" s="2"/>
      <c r="K14" s="2"/>
      <c r="L14" s="2"/>
    </row>
    <row r="15" customFormat="false" ht="75" hidden="false" customHeight="true" outlineLevel="0" collapsed="false">
      <c r="A15" s="2"/>
      <c r="B15" s="139" t="s">
        <v>512</v>
      </c>
      <c r="C15" s="140" t="s">
        <v>513</v>
      </c>
      <c r="D15" s="141" t="n">
        <v>27</v>
      </c>
      <c r="E15" s="142" t="s">
        <v>514</v>
      </c>
      <c r="F15" s="142" t="s">
        <v>506</v>
      </c>
      <c r="G15" s="2"/>
      <c r="H15" s="2"/>
      <c r="I15" s="2"/>
      <c r="J15" s="2"/>
      <c r="K15" s="2"/>
      <c r="L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9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60" hidden="false" customHeight="true" outlineLevel="0" collapsed="false">
      <c r="A18" s="2"/>
      <c r="B18" s="106" t="s">
        <v>516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customFormat="false" ht="30" hidden="false" customHeight="true" outlineLevel="0" collapsed="false">
      <c r="A19" s="2"/>
      <c r="B19" s="88" t="s">
        <v>470</v>
      </c>
      <c r="C19" s="88" t="s">
        <v>517</v>
      </c>
      <c r="D19" s="88" t="s">
        <v>518</v>
      </c>
      <c r="E19" s="87" t="s">
        <v>358</v>
      </c>
      <c r="F19" s="88" t="s">
        <v>359</v>
      </c>
      <c r="G19" s="89" t="s">
        <v>360</v>
      </c>
      <c r="H19" s="90" t="s">
        <v>396</v>
      </c>
      <c r="I19" s="91" t="s">
        <v>648</v>
      </c>
      <c r="J19" s="92" t="s">
        <v>653</v>
      </c>
      <c r="K19" s="2"/>
      <c r="L19" s="2"/>
    </row>
    <row r="20" customFormat="false" ht="30" hidden="false" customHeight="true" outlineLevel="0" collapsed="false">
      <c r="A20" s="2"/>
      <c r="B20" s="143" t="s">
        <v>476</v>
      </c>
      <c r="C20" s="144" t="s">
        <v>477</v>
      </c>
      <c r="D20" s="145" t="n">
        <v>27</v>
      </c>
      <c r="E20" s="146" t="s">
        <v>520</v>
      </c>
      <c r="F20" s="146" t="s">
        <v>520</v>
      </c>
      <c r="G20" s="146" t="s">
        <v>520</v>
      </c>
      <c r="H20" s="147" t="s">
        <v>524</v>
      </c>
      <c r="I20" s="147" t="s">
        <v>524</v>
      </c>
      <c r="J20" s="147" t="s">
        <v>524</v>
      </c>
      <c r="K20" s="2"/>
      <c r="L20" s="2"/>
    </row>
    <row r="21" customFormat="false" ht="30" hidden="false" customHeight="true" outlineLevel="0" collapsed="false">
      <c r="A21" s="2"/>
      <c r="B21" s="143" t="s">
        <v>482</v>
      </c>
      <c r="C21" s="144" t="s">
        <v>483</v>
      </c>
      <c r="D21" s="145" t="n">
        <v>27</v>
      </c>
      <c r="E21" s="146" t="s">
        <v>520</v>
      </c>
      <c r="F21" s="146" t="s">
        <v>520</v>
      </c>
      <c r="G21" s="146" t="s">
        <v>520</v>
      </c>
      <c r="H21" s="146" t="s">
        <v>520</v>
      </c>
      <c r="I21" s="146" t="s">
        <v>520</v>
      </c>
      <c r="J21" s="147" t="s">
        <v>524</v>
      </c>
      <c r="K21" s="2"/>
      <c r="L21" s="2"/>
    </row>
    <row r="22" customFormat="false" ht="30" hidden="false" customHeight="true" outlineLevel="0" collapsed="false">
      <c r="A22" s="2"/>
      <c r="B22" s="143" t="s">
        <v>487</v>
      </c>
      <c r="C22" s="144" t="s">
        <v>488</v>
      </c>
      <c r="D22" s="145" t="n">
        <v>27</v>
      </c>
      <c r="E22" s="146" t="s">
        <v>520</v>
      </c>
      <c r="F22" s="146" t="s">
        <v>520</v>
      </c>
      <c r="G22" s="146" t="s">
        <v>520</v>
      </c>
      <c r="H22" s="146" t="s">
        <v>520</v>
      </c>
      <c r="I22" s="146" t="s">
        <v>520</v>
      </c>
      <c r="J22" s="147" t="s">
        <v>524</v>
      </c>
      <c r="K22" s="2"/>
      <c r="L22" s="2"/>
    </row>
    <row r="23" customFormat="false" ht="30" hidden="false" customHeight="true" outlineLevel="0" collapsed="false">
      <c r="A23" s="2"/>
      <c r="B23" s="143" t="s">
        <v>491</v>
      </c>
      <c r="C23" s="144" t="s">
        <v>488</v>
      </c>
      <c r="D23" s="145" t="n">
        <v>40</v>
      </c>
      <c r="E23" s="147" t="s">
        <v>524</v>
      </c>
      <c r="F23" s="147" t="s">
        <v>524</v>
      </c>
      <c r="G23" s="146" t="s">
        <v>520</v>
      </c>
      <c r="H23" s="147" t="s">
        <v>524</v>
      </c>
      <c r="I23" s="146" t="s">
        <v>520</v>
      </c>
      <c r="J23" s="147" t="s">
        <v>524</v>
      </c>
      <c r="K23" s="2"/>
      <c r="L23" s="2"/>
    </row>
    <row r="24" customFormat="false" ht="30" hidden="false" customHeight="true" outlineLevel="0" collapsed="false">
      <c r="A24" s="2"/>
      <c r="B24" s="143" t="s">
        <v>526</v>
      </c>
      <c r="C24" s="144" t="s">
        <v>488</v>
      </c>
      <c r="D24" s="145" t="n">
        <v>27</v>
      </c>
      <c r="E24" s="147" t="s">
        <v>524</v>
      </c>
      <c r="F24" s="147" t="s">
        <v>524</v>
      </c>
      <c r="G24" s="147" t="s">
        <v>524</v>
      </c>
      <c r="H24" s="146" t="s">
        <v>520</v>
      </c>
      <c r="I24" s="146" t="s">
        <v>520</v>
      </c>
      <c r="J24" s="146" t="s">
        <v>520</v>
      </c>
      <c r="K24" s="2"/>
      <c r="L24" s="2"/>
    </row>
    <row r="25" customFormat="false" ht="30" hidden="false" customHeight="true" outlineLevel="0" collapsed="false">
      <c r="A25" s="2"/>
      <c r="B25" s="143" t="s">
        <v>500</v>
      </c>
      <c r="C25" s="144" t="s">
        <v>501</v>
      </c>
      <c r="D25" s="145" t="n">
        <v>27</v>
      </c>
      <c r="E25" s="147" t="s">
        <v>524</v>
      </c>
      <c r="F25" s="147" t="s">
        <v>524</v>
      </c>
      <c r="G25" s="147" t="s">
        <v>524</v>
      </c>
      <c r="H25" s="146" t="s">
        <v>520</v>
      </c>
      <c r="I25" s="146" t="s">
        <v>520</v>
      </c>
      <c r="J25" s="146" t="s">
        <v>520</v>
      </c>
      <c r="K25" s="2"/>
      <c r="L25" s="2"/>
    </row>
    <row r="26" customFormat="false" ht="30" hidden="false" customHeight="true" outlineLevel="0" collapsed="false">
      <c r="A26" s="2"/>
      <c r="B26" s="143" t="s">
        <v>504</v>
      </c>
      <c r="C26" s="144" t="s">
        <v>488</v>
      </c>
      <c r="D26" s="145" t="n">
        <v>27</v>
      </c>
      <c r="E26" s="147" t="s">
        <v>524</v>
      </c>
      <c r="F26" s="147" t="s">
        <v>524</v>
      </c>
      <c r="G26" s="147" t="s">
        <v>524</v>
      </c>
      <c r="H26" s="147" t="s">
        <v>524</v>
      </c>
      <c r="I26" s="146" t="s">
        <v>520</v>
      </c>
      <c r="J26" s="146" t="s">
        <v>520</v>
      </c>
      <c r="K26" s="2"/>
      <c r="L26" s="2"/>
    </row>
    <row r="27" customFormat="false" ht="30" hidden="false" customHeight="true" outlineLevel="0" collapsed="false">
      <c r="A27" s="2"/>
      <c r="B27" s="143" t="s">
        <v>508</v>
      </c>
      <c r="C27" s="144" t="s">
        <v>509</v>
      </c>
      <c r="D27" s="145" t="n">
        <v>27</v>
      </c>
      <c r="E27" s="147" t="s">
        <v>524</v>
      </c>
      <c r="F27" s="147" t="s">
        <v>524</v>
      </c>
      <c r="G27" s="147" t="s">
        <v>524</v>
      </c>
      <c r="H27" s="147" t="s">
        <v>524</v>
      </c>
      <c r="I27" s="146" t="s">
        <v>520</v>
      </c>
      <c r="J27" s="146" t="s">
        <v>520</v>
      </c>
      <c r="K27" s="2"/>
      <c r="L27" s="2"/>
    </row>
    <row r="28" customFormat="false" ht="30" hidden="false" customHeight="true" outlineLevel="0" collapsed="false">
      <c r="A28" s="2"/>
      <c r="B28" s="143" t="s">
        <v>512</v>
      </c>
      <c r="C28" s="144" t="s">
        <v>513</v>
      </c>
      <c r="D28" s="145" t="n">
        <v>27</v>
      </c>
      <c r="E28" s="147" t="s">
        <v>524</v>
      </c>
      <c r="F28" s="147" t="s">
        <v>524</v>
      </c>
      <c r="G28" s="147" t="s">
        <v>524</v>
      </c>
      <c r="H28" s="147" t="s">
        <v>524</v>
      </c>
      <c r="I28" s="146" t="s">
        <v>520</v>
      </c>
      <c r="J28" s="146" t="s">
        <v>520</v>
      </c>
      <c r="K28" s="2"/>
      <c r="L28" s="2"/>
    </row>
    <row r="29" customFormat="false" ht="1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customFormat="false" ht="120" hidden="false" customHeight="true" outlineLevel="0" collapsed="false">
      <c r="A30" s="2"/>
      <c r="B30" s="148" t="s">
        <v>532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</sheetData>
  <mergeCells count="5">
    <mergeCell ref="B2:L2"/>
    <mergeCell ref="B3:L3"/>
    <mergeCell ref="B5:L5"/>
    <mergeCell ref="B18:L18"/>
    <mergeCell ref="B30:L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101"/>
    <pageSetUpPr fitToPage="false"/>
  </sheetPr>
  <dimension ref="A1:M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8" min="3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7.75" hidden="false" customHeight="true" outlineLevel="0" collapsed="false">
      <c r="A2" s="2"/>
      <c r="B2" s="84" t="s">
        <v>533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customFormat="false" ht="45" hidden="false" customHeight="true" outlineLevel="0" collapsed="false">
      <c r="A3" s="2"/>
      <c r="B3" s="85" t="s">
        <v>534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true" outlineLevel="0" collapsed="false">
      <c r="A5" s="2"/>
      <c r="B5" s="149" t="s">
        <v>51</v>
      </c>
      <c r="C5" s="150" t="s">
        <v>358</v>
      </c>
      <c r="D5" s="151" t="s">
        <v>359</v>
      </c>
      <c r="E5" s="152" t="s">
        <v>360</v>
      </c>
      <c r="F5" s="153" t="s">
        <v>396</v>
      </c>
      <c r="G5" s="154" t="s">
        <v>648</v>
      </c>
      <c r="H5" s="155" t="s">
        <v>653</v>
      </c>
      <c r="I5" s="2"/>
      <c r="J5" s="2"/>
      <c r="K5" s="2"/>
      <c r="L5" s="2"/>
      <c r="M5" s="2"/>
    </row>
    <row r="6" customFormat="false" ht="30" hidden="false" customHeight="true" outlineLevel="0" collapsed="false">
      <c r="A6" s="2"/>
      <c r="B6" s="156" t="s">
        <v>536</v>
      </c>
      <c r="C6" s="156"/>
      <c r="D6" s="156"/>
      <c r="E6" s="156"/>
      <c r="F6" s="156"/>
      <c r="G6" s="156"/>
      <c r="H6" s="156"/>
      <c r="I6" s="2"/>
      <c r="J6" s="2"/>
      <c r="K6" s="2"/>
      <c r="L6" s="2"/>
      <c r="M6" s="2"/>
    </row>
    <row r="7" customFormat="false" ht="30" hidden="false" customHeight="true" outlineLevel="0" collapsed="false">
      <c r="A7" s="2"/>
      <c r="B7" s="157" t="s">
        <v>537</v>
      </c>
      <c r="C7" s="158" t="s">
        <v>362</v>
      </c>
      <c r="D7" s="158" t="s">
        <v>362</v>
      </c>
      <c r="E7" s="158" t="s">
        <v>362</v>
      </c>
      <c r="F7" s="158" t="s">
        <v>538</v>
      </c>
      <c r="G7" s="158" t="s">
        <v>5760</v>
      </c>
      <c r="H7" s="158" t="s">
        <v>5761</v>
      </c>
      <c r="I7" s="2"/>
      <c r="J7" s="2"/>
      <c r="K7" s="2"/>
      <c r="L7" s="2"/>
      <c r="M7" s="2"/>
    </row>
    <row r="8" customFormat="false" ht="30" hidden="false" customHeight="true" outlineLevel="0" collapsed="false">
      <c r="A8" s="2"/>
      <c r="B8" s="159" t="s">
        <v>540</v>
      </c>
      <c r="C8" s="160" t="n">
        <v>235</v>
      </c>
      <c r="D8" s="160" t="n">
        <v>275</v>
      </c>
      <c r="E8" s="160" t="n">
        <v>355</v>
      </c>
      <c r="F8" s="160" t="n">
        <v>420</v>
      </c>
      <c r="G8" s="160" t="n">
        <v>460</v>
      </c>
      <c r="H8" s="160" t="n">
        <v>500</v>
      </c>
      <c r="I8" s="2"/>
      <c r="J8" s="2"/>
      <c r="K8" s="2"/>
      <c r="L8" s="2"/>
      <c r="M8" s="2"/>
    </row>
    <row r="9" customFormat="false" ht="18" hidden="false" customHeight="true" outlineLevel="0" collapsed="false">
      <c r="A9" s="2"/>
      <c r="B9" s="157" t="s">
        <v>542</v>
      </c>
      <c r="C9" s="161" t="n">
        <v>0.35</v>
      </c>
      <c r="D9" s="161" t="n">
        <v>0.4</v>
      </c>
      <c r="E9" s="161" t="n">
        <v>0.45</v>
      </c>
      <c r="F9" s="161" t="n">
        <v>0.47</v>
      </c>
      <c r="G9" s="161" t="n">
        <v>0.53</v>
      </c>
      <c r="H9" s="161" t="n">
        <v>0.56</v>
      </c>
      <c r="I9" s="2"/>
      <c r="J9" s="2"/>
      <c r="K9" s="2"/>
      <c r="L9" s="2"/>
      <c r="M9" s="2"/>
    </row>
    <row r="10" customFormat="false" ht="30" hidden="false" customHeight="true" outlineLevel="0" collapsed="false">
      <c r="A10" s="2"/>
      <c r="B10" s="156" t="s">
        <v>548</v>
      </c>
      <c r="C10" s="156"/>
      <c r="D10" s="156"/>
      <c r="E10" s="156"/>
      <c r="F10" s="156"/>
      <c r="G10" s="156"/>
      <c r="H10" s="156"/>
      <c r="I10" s="2"/>
      <c r="J10" s="2"/>
      <c r="K10" s="2"/>
      <c r="L10" s="2"/>
      <c r="M10" s="2"/>
    </row>
    <row r="11" customFormat="false" ht="18" hidden="false" customHeight="true" outlineLevel="0" collapsed="false">
      <c r="A11" s="2"/>
      <c r="B11" s="157" t="s">
        <v>549</v>
      </c>
      <c r="C11" s="94" t="n">
        <v>235</v>
      </c>
      <c r="D11" s="94" t="n">
        <v>275</v>
      </c>
      <c r="E11" s="94" t="n">
        <v>355</v>
      </c>
      <c r="F11" s="94" t="n">
        <v>420</v>
      </c>
      <c r="G11" s="94" t="n">
        <v>460</v>
      </c>
      <c r="H11" s="94" t="n">
        <v>500</v>
      </c>
      <c r="I11" s="2"/>
      <c r="J11" s="2"/>
      <c r="K11" s="2"/>
      <c r="L11" s="2"/>
      <c r="M11" s="2"/>
    </row>
    <row r="12" customFormat="false" ht="30" hidden="false" customHeight="true" outlineLevel="0" collapsed="false">
      <c r="A12" s="2"/>
      <c r="B12" s="159" t="s">
        <v>551</v>
      </c>
      <c r="C12" s="160" t="n">
        <v>225</v>
      </c>
      <c r="D12" s="160" t="n">
        <v>265</v>
      </c>
      <c r="E12" s="160" t="n">
        <v>345</v>
      </c>
      <c r="F12" s="160" t="n">
        <v>400</v>
      </c>
      <c r="G12" s="160" t="n">
        <v>440</v>
      </c>
      <c r="H12" s="160" t="n">
        <v>480</v>
      </c>
      <c r="I12" s="2"/>
      <c r="J12" s="2"/>
      <c r="K12" s="2"/>
      <c r="L12" s="2"/>
      <c r="M12" s="2"/>
    </row>
    <row r="13" customFormat="false" ht="18" hidden="false" customHeight="true" outlineLevel="0" collapsed="false">
      <c r="A13" s="2"/>
      <c r="B13" s="157" t="s">
        <v>553</v>
      </c>
      <c r="C13" s="94" t="n">
        <v>215</v>
      </c>
      <c r="D13" s="94" t="n">
        <v>255</v>
      </c>
      <c r="E13" s="94" t="n">
        <v>335</v>
      </c>
      <c r="F13" s="94" t="n">
        <v>390</v>
      </c>
      <c r="G13" s="94" t="n">
        <v>430</v>
      </c>
      <c r="H13" s="94" t="n">
        <v>440</v>
      </c>
      <c r="I13" s="2"/>
      <c r="J13" s="2"/>
      <c r="K13" s="2"/>
      <c r="L13" s="2"/>
      <c r="M13" s="2"/>
    </row>
    <row r="14" customFormat="false" ht="30" hidden="false" customHeight="true" outlineLevel="0" collapsed="false">
      <c r="A14" s="2"/>
      <c r="B14" s="159" t="s">
        <v>555</v>
      </c>
      <c r="C14" s="160" t="n">
        <v>215</v>
      </c>
      <c r="D14" s="160" t="n">
        <v>245</v>
      </c>
      <c r="E14" s="160" t="n">
        <v>325</v>
      </c>
      <c r="F14" s="160" t="n">
        <v>370</v>
      </c>
      <c r="G14" s="160" t="n">
        <v>410</v>
      </c>
      <c r="H14" s="162" t="s">
        <v>433</v>
      </c>
      <c r="I14" s="2"/>
      <c r="J14" s="2"/>
      <c r="K14" s="2"/>
      <c r="L14" s="2"/>
      <c r="M14" s="2"/>
    </row>
    <row r="15" customFormat="false" ht="18" hidden="false" customHeight="true" outlineLevel="0" collapsed="false">
      <c r="A15" s="2"/>
      <c r="B15" s="157" t="s">
        <v>557</v>
      </c>
      <c r="C15" s="94" t="n">
        <v>215</v>
      </c>
      <c r="D15" s="94" t="n">
        <v>235</v>
      </c>
      <c r="E15" s="94" t="n">
        <v>315</v>
      </c>
      <c r="F15" s="94" t="n">
        <v>360</v>
      </c>
      <c r="G15" s="94" t="n">
        <v>400</v>
      </c>
      <c r="H15" s="97" t="s">
        <v>433</v>
      </c>
      <c r="I15" s="2"/>
      <c r="J15" s="2"/>
      <c r="K15" s="2"/>
      <c r="L15" s="2"/>
      <c r="M15" s="2"/>
    </row>
    <row r="16" customFormat="false" ht="30" hidden="false" customHeight="true" outlineLevel="0" collapsed="false">
      <c r="A16" s="2"/>
      <c r="B16" s="159" t="s">
        <v>559</v>
      </c>
      <c r="C16" s="160" t="n">
        <v>195</v>
      </c>
      <c r="D16" s="160" t="n">
        <v>225</v>
      </c>
      <c r="E16" s="160" t="n">
        <v>295</v>
      </c>
      <c r="F16" s="160" t="n">
        <v>340</v>
      </c>
      <c r="G16" s="160" t="n">
        <v>380</v>
      </c>
      <c r="H16" s="162" t="s">
        <v>433</v>
      </c>
      <c r="I16" s="2"/>
      <c r="J16" s="2"/>
      <c r="K16" s="2"/>
      <c r="L16" s="2"/>
      <c r="M16" s="2"/>
    </row>
    <row r="17" customFormat="false" ht="30" hidden="false" customHeight="true" outlineLevel="0" collapsed="false">
      <c r="A17" s="2"/>
      <c r="B17" s="156" t="s">
        <v>561</v>
      </c>
      <c r="C17" s="156"/>
      <c r="D17" s="156"/>
      <c r="E17" s="156"/>
      <c r="F17" s="156"/>
      <c r="G17" s="156"/>
      <c r="H17" s="156"/>
      <c r="I17" s="2"/>
      <c r="J17" s="2"/>
      <c r="K17" s="2"/>
      <c r="L17" s="2"/>
      <c r="M17" s="2"/>
    </row>
    <row r="18" customFormat="false" ht="30" hidden="false" customHeight="true" outlineLevel="0" collapsed="false">
      <c r="A18" s="2"/>
      <c r="B18" s="159" t="s">
        <v>549</v>
      </c>
      <c r="C18" s="144" t="s">
        <v>371</v>
      </c>
      <c r="D18" s="144" t="s">
        <v>372</v>
      </c>
      <c r="E18" s="144" t="s">
        <v>373</v>
      </c>
      <c r="F18" s="144" t="s">
        <v>562</v>
      </c>
      <c r="G18" s="144" t="s">
        <v>5765</v>
      </c>
      <c r="H18" s="144" t="s">
        <v>5766</v>
      </c>
      <c r="I18" s="2"/>
      <c r="J18" s="2"/>
      <c r="K18" s="2"/>
      <c r="L18" s="2"/>
      <c r="M18" s="2"/>
    </row>
    <row r="19" customFormat="false" ht="18" hidden="false" customHeight="true" outlineLevel="0" collapsed="false">
      <c r="A19" s="2"/>
      <c r="B19" s="157" t="s">
        <v>551</v>
      </c>
      <c r="C19" s="158" t="s">
        <v>371</v>
      </c>
      <c r="D19" s="158" t="s">
        <v>372</v>
      </c>
      <c r="E19" s="158" t="s">
        <v>373</v>
      </c>
      <c r="F19" s="158" t="s">
        <v>562</v>
      </c>
      <c r="G19" s="158" t="s">
        <v>5778</v>
      </c>
      <c r="H19" s="158" t="s">
        <v>5779</v>
      </c>
      <c r="I19" s="2"/>
      <c r="J19" s="2"/>
      <c r="K19" s="2"/>
      <c r="L19" s="2"/>
      <c r="M19" s="2"/>
    </row>
    <row r="20" customFormat="false" ht="30" hidden="false" customHeight="true" outlineLevel="0" collapsed="false">
      <c r="A20" s="2"/>
      <c r="B20" s="159" t="s">
        <v>553</v>
      </c>
      <c r="C20" s="144" t="s">
        <v>371</v>
      </c>
      <c r="D20" s="144" t="s">
        <v>565</v>
      </c>
      <c r="E20" s="144" t="s">
        <v>373</v>
      </c>
      <c r="F20" s="144" t="s">
        <v>566</v>
      </c>
      <c r="G20" s="144" t="s">
        <v>5780</v>
      </c>
      <c r="H20" s="144" t="s">
        <v>5765</v>
      </c>
      <c r="I20" s="2"/>
      <c r="J20" s="2"/>
      <c r="K20" s="2"/>
      <c r="L20" s="2"/>
      <c r="M20" s="2"/>
    </row>
    <row r="21" customFormat="false" ht="18" hidden="false" customHeight="true" outlineLevel="0" collapsed="false">
      <c r="A21" s="2"/>
      <c r="B21" s="157" t="s">
        <v>557</v>
      </c>
      <c r="C21" s="158" t="s">
        <v>371</v>
      </c>
      <c r="D21" s="158" t="s">
        <v>568</v>
      </c>
      <c r="E21" s="158" t="s">
        <v>569</v>
      </c>
      <c r="F21" s="158" t="s">
        <v>570</v>
      </c>
      <c r="G21" s="158" t="s">
        <v>5781</v>
      </c>
      <c r="H21" s="97" t="s">
        <v>433</v>
      </c>
      <c r="I21" s="2"/>
      <c r="J21" s="2"/>
      <c r="K21" s="2"/>
      <c r="L21" s="2"/>
      <c r="M21" s="2"/>
    </row>
    <row r="22" customFormat="false" ht="30" hidden="false" customHeight="true" outlineLevel="0" collapsed="false">
      <c r="A22" s="2"/>
      <c r="B22" s="159" t="s">
        <v>559</v>
      </c>
      <c r="C22" s="144" t="s">
        <v>572</v>
      </c>
      <c r="D22" s="144" t="s">
        <v>573</v>
      </c>
      <c r="E22" s="144" t="s">
        <v>574</v>
      </c>
      <c r="F22" s="144" t="s">
        <v>373</v>
      </c>
      <c r="G22" s="144" t="s">
        <v>5782</v>
      </c>
      <c r="H22" s="162" t="s">
        <v>433</v>
      </c>
      <c r="I22" s="2"/>
      <c r="J22" s="2"/>
      <c r="K22" s="2"/>
      <c r="L22" s="2"/>
      <c r="M22" s="2"/>
    </row>
    <row r="23" customFormat="false" ht="30" hidden="false" customHeight="true" outlineLevel="0" collapsed="false">
      <c r="A23" s="2"/>
      <c r="B23" s="156" t="s">
        <v>576</v>
      </c>
      <c r="C23" s="156"/>
      <c r="D23" s="156"/>
      <c r="E23" s="156"/>
      <c r="F23" s="156"/>
      <c r="G23" s="156"/>
      <c r="H23" s="156"/>
      <c r="I23" s="2"/>
      <c r="J23" s="2"/>
      <c r="K23" s="2"/>
      <c r="L23" s="2"/>
      <c r="M23" s="2"/>
    </row>
    <row r="24" customFormat="false" ht="30" hidden="false" customHeight="true" outlineLevel="0" collapsed="false">
      <c r="A24" s="2"/>
      <c r="B24" s="159" t="s">
        <v>549</v>
      </c>
      <c r="C24" s="160" t="n">
        <v>26</v>
      </c>
      <c r="D24" s="160" t="n">
        <v>23</v>
      </c>
      <c r="E24" s="160" t="n">
        <v>22</v>
      </c>
      <c r="F24" s="160" t="n">
        <v>19</v>
      </c>
      <c r="G24" s="160" t="n">
        <v>17</v>
      </c>
      <c r="H24" s="160" t="n">
        <v>17</v>
      </c>
      <c r="I24" s="2"/>
      <c r="J24" s="2"/>
      <c r="K24" s="2"/>
      <c r="L24" s="2"/>
      <c r="M24" s="2"/>
    </row>
    <row r="25" customFormat="false" ht="18" hidden="false" customHeight="true" outlineLevel="0" collapsed="false">
      <c r="A25" s="2"/>
      <c r="B25" s="157" t="s">
        <v>551</v>
      </c>
      <c r="C25" s="94" t="n">
        <v>26</v>
      </c>
      <c r="D25" s="94" t="n">
        <v>23</v>
      </c>
      <c r="E25" s="94" t="n">
        <v>22</v>
      </c>
      <c r="F25" s="94" t="n">
        <v>19</v>
      </c>
      <c r="G25" s="94" t="n">
        <v>17</v>
      </c>
      <c r="H25" s="94" t="n">
        <v>17</v>
      </c>
      <c r="I25" s="2"/>
      <c r="J25" s="2"/>
      <c r="K25" s="2"/>
      <c r="L25" s="2"/>
      <c r="M25" s="2"/>
    </row>
    <row r="26" customFormat="false" ht="30" hidden="false" customHeight="true" outlineLevel="0" collapsed="false">
      <c r="A26" s="2"/>
      <c r="B26" s="159" t="s">
        <v>553</v>
      </c>
      <c r="C26" s="160" t="n">
        <v>24</v>
      </c>
      <c r="D26" s="160" t="n">
        <v>22</v>
      </c>
      <c r="E26" s="160" t="n">
        <v>21</v>
      </c>
      <c r="F26" s="160" t="n">
        <v>18</v>
      </c>
      <c r="G26" s="160" t="n">
        <v>17</v>
      </c>
      <c r="H26" s="160" t="n">
        <v>16</v>
      </c>
      <c r="I26" s="2"/>
      <c r="J26" s="2"/>
      <c r="K26" s="2"/>
      <c r="L26" s="2"/>
      <c r="M26" s="2"/>
    </row>
    <row r="27" customFormat="false" ht="18" hidden="false" customHeight="true" outlineLevel="0" collapsed="false">
      <c r="A27" s="2"/>
      <c r="B27" s="157" t="s">
        <v>557</v>
      </c>
      <c r="C27" s="94" t="n">
        <v>22</v>
      </c>
      <c r="D27" s="94" t="n">
        <v>21</v>
      </c>
      <c r="E27" s="94" t="n">
        <v>20</v>
      </c>
      <c r="F27" s="94" t="n">
        <v>17</v>
      </c>
      <c r="G27" s="94" t="n">
        <v>17</v>
      </c>
      <c r="H27" s="97" t="s">
        <v>433</v>
      </c>
      <c r="I27" s="2"/>
      <c r="J27" s="2"/>
      <c r="K27" s="2"/>
      <c r="L27" s="2"/>
      <c r="M27" s="2"/>
    </row>
    <row r="28" customFormat="false" ht="30" hidden="false" customHeight="true" outlineLevel="0" collapsed="false">
      <c r="A28" s="2"/>
      <c r="B28" s="156" t="s">
        <v>590</v>
      </c>
      <c r="C28" s="156"/>
      <c r="D28" s="156"/>
      <c r="E28" s="156"/>
      <c r="F28" s="156"/>
      <c r="G28" s="156"/>
      <c r="H28" s="156"/>
      <c r="I28" s="2"/>
      <c r="J28" s="2"/>
      <c r="K28" s="2"/>
      <c r="L28" s="2"/>
      <c r="M28" s="2"/>
    </row>
    <row r="29" customFormat="false" ht="45" hidden="false" customHeight="true" outlineLevel="0" collapsed="false">
      <c r="A29" s="2"/>
      <c r="B29" s="157" t="s">
        <v>591</v>
      </c>
      <c r="C29" s="158" t="s">
        <v>592</v>
      </c>
      <c r="D29" s="158" t="s">
        <v>592</v>
      </c>
      <c r="E29" s="158" t="s">
        <v>593</v>
      </c>
      <c r="F29" s="158" t="s">
        <v>594</v>
      </c>
      <c r="G29" s="158" t="s">
        <v>5783</v>
      </c>
      <c r="H29" s="158" t="s">
        <v>5784</v>
      </c>
      <c r="I29" s="2"/>
      <c r="J29" s="2"/>
      <c r="K29" s="2"/>
      <c r="L29" s="2"/>
      <c r="M29" s="2"/>
    </row>
    <row r="30" customFormat="false" ht="30" hidden="false" customHeight="true" outlineLevel="0" collapsed="false">
      <c r="A30" s="2"/>
      <c r="B30" s="159" t="s">
        <v>596</v>
      </c>
      <c r="C30" s="144" t="s">
        <v>597</v>
      </c>
      <c r="D30" s="144" t="s">
        <v>598</v>
      </c>
      <c r="E30" s="144" t="s">
        <v>597</v>
      </c>
      <c r="F30" s="144" t="s">
        <v>599</v>
      </c>
      <c r="G30" s="144" t="s">
        <v>5785</v>
      </c>
      <c r="H30" s="144" t="s">
        <v>5785</v>
      </c>
      <c r="I30" s="2"/>
      <c r="J30" s="2"/>
      <c r="K30" s="2"/>
      <c r="L30" s="2"/>
      <c r="M30" s="2"/>
    </row>
    <row r="31" customFormat="false" ht="18" hidden="false" customHeight="true" outlineLevel="0" collapsed="false">
      <c r="A31" s="2"/>
      <c r="B31" s="157" t="s">
        <v>601</v>
      </c>
      <c r="C31" s="158" t="s">
        <v>602</v>
      </c>
      <c r="D31" s="158" t="s">
        <v>602</v>
      </c>
      <c r="E31" s="158" t="s">
        <v>602</v>
      </c>
      <c r="F31" s="158" t="s">
        <v>602</v>
      </c>
      <c r="G31" s="158" t="s">
        <v>5786</v>
      </c>
      <c r="H31" s="158" t="s">
        <v>5786</v>
      </c>
      <c r="I31" s="2"/>
      <c r="J31" s="2"/>
      <c r="K31" s="2"/>
      <c r="L31" s="2"/>
      <c r="M31" s="2"/>
    </row>
    <row r="32" customFormat="false" ht="30" hidden="false" customHeight="true" outlineLevel="0" collapsed="false">
      <c r="A32" s="2"/>
      <c r="B32" s="156" t="s">
        <v>604</v>
      </c>
      <c r="C32" s="156"/>
      <c r="D32" s="156"/>
      <c r="E32" s="156"/>
      <c r="F32" s="156"/>
      <c r="G32" s="156"/>
      <c r="H32" s="156"/>
      <c r="I32" s="2"/>
      <c r="J32" s="2"/>
      <c r="K32" s="2"/>
      <c r="L32" s="2"/>
      <c r="M32" s="2"/>
    </row>
    <row r="33" customFormat="false" ht="18" hidden="false" customHeight="true" outlineLevel="0" collapsed="false">
      <c r="A33" s="2"/>
      <c r="B33" s="157" t="s">
        <v>605</v>
      </c>
      <c r="C33" s="161" t="n">
        <v>0.35</v>
      </c>
      <c r="D33" s="161" t="n">
        <v>0.4</v>
      </c>
      <c r="E33" s="161" t="n">
        <v>0.45</v>
      </c>
      <c r="F33" s="161" t="n">
        <v>0.47</v>
      </c>
      <c r="G33" s="161" t="n">
        <v>0.53</v>
      </c>
      <c r="H33" s="161" t="n">
        <v>0.56</v>
      </c>
      <c r="I33" s="2"/>
      <c r="J33" s="2"/>
      <c r="K33" s="2"/>
      <c r="L33" s="2"/>
      <c r="M33" s="2"/>
    </row>
    <row r="34" customFormat="false" ht="30" hidden="false" customHeight="true" outlineLevel="0" collapsed="false">
      <c r="A34" s="2"/>
      <c r="B34" s="159" t="s">
        <v>607</v>
      </c>
      <c r="C34" s="144" t="s">
        <v>608</v>
      </c>
      <c r="D34" s="144" t="s">
        <v>608</v>
      </c>
      <c r="E34" s="144" t="s">
        <v>609</v>
      </c>
      <c r="F34" s="144" t="s">
        <v>610</v>
      </c>
      <c r="G34" s="144" t="s">
        <v>5787</v>
      </c>
      <c r="H34" s="144" t="s">
        <v>5787</v>
      </c>
      <c r="I34" s="2"/>
      <c r="J34" s="2"/>
      <c r="K34" s="2"/>
      <c r="L34" s="2"/>
      <c r="M34" s="2"/>
    </row>
    <row r="35" customFormat="false" ht="18" hidden="false" customHeight="true" outlineLevel="0" collapsed="false">
      <c r="A35" s="2"/>
      <c r="B35" s="157" t="s">
        <v>612</v>
      </c>
      <c r="C35" s="158" t="s">
        <v>613</v>
      </c>
      <c r="D35" s="158" t="s">
        <v>613</v>
      </c>
      <c r="E35" s="158" t="s">
        <v>614</v>
      </c>
      <c r="F35" s="158" t="s">
        <v>614</v>
      </c>
      <c r="G35" s="158" t="s">
        <v>650</v>
      </c>
      <c r="H35" s="158" t="s">
        <v>650</v>
      </c>
      <c r="I35" s="2"/>
      <c r="J35" s="2"/>
      <c r="K35" s="2"/>
      <c r="L35" s="2"/>
      <c r="M35" s="2"/>
    </row>
    <row r="36" customFormat="false" ht="30" hidden="false" customHeight="true" outlineLevel="0" collapsed="false">
      <c r="A36" s="2"/>
      <c r="B36" s="156" t="s">
        <v>616</v>
      </c>
      <c r="C36" s="156"/>
      <c r="D36" s="156"/>
      <c r="E36" s="156"/>
      <c r="F36" s="156"/>
      <c r="G36" s="156"/>
      <c r="H36" s="156"/>
      <c r="I36" s="2"/>
      <c r="J36" s="2"/>
      <c r="K36" s="2"/>
      <c r="L36" s="2"/>
      <c r="M36" s="2"/>
    </row>
    <row r="37" customFormat="false" ht="18" hidden="false" customHeight="true" outlineLevel="0" collapsed="false">
      <c r="A37" s="2"/>
      <c r="B37" s="157" t="s">
        <v>617</v>
      </c>
      <c r="C37" s="94" t="n">
        <v>7850</v>
      </c>
      <c r="D37" s="94" t="n">
        <v>7850</v>
      </c>
      <c r="E37" s="94" t="n">
        <v>7850</v>
      </c>
      <c r="F37" s="94" t="n">
        <v>7850</v>
      </c>
      <c r="G37" s="94" t="n">
        <v>7850</v>
      </c>
      <c r="H37" s="94" t="n">
        <v>7850</v>
      </c>
      <c r="I37" s="2"/>
      <c r="J37" s="2"/>
      <c r="K37" s="2"/>
      <c r="L37" s="2"/>
      <c r="M37" s="2"/>
    </row>
    <row r="38" customFormat="false" ht="30" hidden="false" customHeight="true" outlineLevel="0" collapsed="false">
      <c r="A38" s="2"/>
      <c r="B38" s="159" t="s">
        <v>620</v>
      </c>
      <c r="C38" s="160" t="n">
        <v>210</v>
      </c>
      <c r="D38" s="160" t="n">
        <v>210</v>
      </c>
      <c r="E38" s="160" t="n">
        <v>210</v>
      </c>
      <c r="F38" s="160" t="n">
        <v>210</v>
      </c>
      <c r="G38" s="160" t="n">
        <v>210</v>
      </c>
      <c r="H38" s="160" t="n">
        <v>210</v>
      </c>
      <c r="I38" s="2"/>
      <c r="J38" s="2"/>
      <c r="K38" s="2"/>
      <c r="L38" s="2"/>
      <c r="M38" s="2"/>
    </row>
    <row r="39" customFormat="false" ht="18" hidden="false" customHeight="true" outlineLevel="0" collapsed="false">
      <c r="A39" s="2"/>
      <c r="B39" s="157" t="s">
        <v>623</v>
      </c>
      <c r="C39" s="161" t="n">
        <v>0.3</v>
      </c>
      <c r="D39" s="161" t="n">
        <v>0.3</v>
      </c>
      <c r="E39" s="161" t="n">
        <v>0.3</v>
      </c>
      <c r="F39" s="161" t="n">
        <v>0.3</v>
      </c>
      <c r="G39" s="161" t="n">
        <v>0.3</v>
      </c>
      <c r="H39" s="161" t="n">
        <v>0.3</v>
      </c>
      <c r="I39" s="2"/>
      <c r="J39" s="2"/>
      <c r="K39" s="2"/>
      <c r="L39" s="2"/>
      <c r="M39" s="2"/>
    </row>
    <row r="40" customFormat="false" ht="30" hidden="false" customHeight="true" outlineLevel="0" collapsed="false">
      <c r="A40" s="2"/>
      <c r="B40" s="159" t="s">
        <v>626</v>
      </c>
      <c r="C40" s="160" t="n">
        <v>12</v>
      </c>
      <c r="D40" s="160" t="n">
        <v>12</v>
      </c>
      <c r="E40" s="160" t="n">
        <v>12</v>
      </c>
      <c r="F40" s="160" t="n">
        <v>12</v>
      </c>
      <c r="G40" s="160" t="n">
        <v>12</v>
      </c>
      <c r="H40" s="160" t="n">
        <v>12</v>
      </c>
      <c r="I40" s="2"/>
      <c r="J40" s="2"/>
      <c r="K40" s="2"/>
      <c r="L40" s="2"/>
      <c r="M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customFormat="false" ht="75" hidden="false" customHeight="true" outlineLevel="0" collapsed="false">
      <c r="A42" s="2"/>
      <c r="B42" s="83" t="s">
        <v>629</v>
      </c>
      <c r="C42" s="83"/>
      <c r="D42" s="83"/>
      <c r="E42" s="83"/>
      <c r="F42" s="83"/>
      <c r="G42" s="83"/>
      <c r="H42" s="83"/>
      <c r="I42" s="2"/>
      <c r="J42" s="2"/>
      <c r="K42" s="2"/>
      <c r="L42" s="2"/>
      <c r="M42" s="2"/>
    </row>
  </sheetData>
  <autoFilter ref="B5:M42"/>
  <mergeCells count="10">
    <mergeCell ref="B2:M2"/>
    <mergeCell ref="B3:M3"/>
    <mergeCell ref="B6:H6"/>
    <mergeCell ref="B10:H10"/>
    <mergeCell ref="B17:H17"/>
    <mergeCell ref="B23:H23"/>
    <mergeCell ref="B28:H28"/>
    <mergeCell ref="B32:H32"/>
    <mergeCell ref="B36:H36"/>
    <mergeCell ref="B42:H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39BB"/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12"/>
    <col collapsed="false" customWidth="true" hidden="false" outlineLevel="0" max="5" min="5" style="1" width="14"/>
    <col collapsed="false" customWidth="true" hidden="false" outlineLevel="0" max="6" min="6" style="1" width="18"/>
    <col collapsed="false" customWidth="true" hidden="false" outlineLevel="0" max="8" min="7" style="1" width="22"/>
    <col collapsed="false" customWidth="true" hidden="false" outlineLevel="0" max="9" min="9" style="1" width="18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5" hidden="false" customHeight="true" outlineLevel="0" collapsed="false">
      <c r="A2" s="2"/>
      <c r="B2" s="84" t="s">
        <v>630</v>
      </c>
      <c r="C2" s="84"/>
      <c r="D2" s="84"/>
      <c r="E2" s="84"/>
      <c r="F2" s="84"/>
      <c r="G2" s="84"/>
      <c r="H2" s="84"/>
      <c r="I2" s="84"/>
      <c r="J2" s="84"/>
    </row>
    <row r="3" customFormat="false" ht="45" hidden="false" customHeight="true" outlineLevel="0" collapsed="false">
      <c r="A3" s="2"/>
      <c r="B3" s="85" t="s">
        <v>631</v>
      </c>
      <c r="C3" s="85"/>
      <c r="D3" s="85"/>
      <c r="E3" s="85"/>
      <c r="F3" s="85"/>
      <c r="G3" s="85"/>
      <c r="H3" s="85"/>
      <c r="I3" s="85"/>
      <c r="J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30" hidden="false" customHeight="true" outlineLevel="0" collapsed="false">
      <c r="A5" s="2"/>
      <c r="B5" s="86" t="s">
        <v>632</v>
      </c>
      <c r="C5" s="86" t="s">
        <v>633</v>
      </c>
      <c r="D5" s="86" t="s">
        <v>24</v>
      </c>
      <c r="E5" s="86" t="s">
        <v>634</v>
      </c>
      <c r="F5" s="86" t="s">
        <v>635</v>
      </c>
      <c r="G5" s="86" t="s">
        <v>5788</v>
      </c>
      <c r="H5" s="86" t="s">
        <v>5789</v>
      </c>
      <c r="I5" s="86" t="s">
        <v>537</v>
      </c>
      <c r="J5" s="2"/>
    </row>
    <row r="6" customFormat="false" ht="75" hidden="false" customHeight="true" outlineLevel="0" collapsed="false">
      <c r="A6" s="2"/>
      <c r="B6" s="150" t="s">
        <v>358</v>
      </c>
      <c r="C6" s="163" t="n">
        <v>0.35</v>
      </c>
      <c r="D6" s="164" t="s">
        <v>613</v>
      </c>
      <c r="E6" s="165" t="s">
        <v>637</v>
      </c>
      <c r="F6" s="165" t="s">
        <v>638</v>
      </c>
      <c r="G6" s="165" t="s">
        <v>5790</v>
      </c>
      <c r="H6" s="166" t="s">
        <v>5791</v>
      </c>
      <c r="I6" s="165" t="s">
        <v>362</v>
      </c>
      <c r="J6" s="2"/>
    </row>
    <row r="7" customFormat="false" ht="75" hidden="false" customHeight="true" outlineLevel="0" collapsed="false">
      <c r="A7" s="2"/>
      <c r="B7" s="151" t="s">
        <v>359</v>
      </c>
      <c r="C7" s="163" t="n">
        <v>0.4</v>
      </c>
      <c r="D7" s="164" t="s">
        <v>613</v>
      </c>
      <c r="E7" s="167" t="s">
        <v>637</v>
      </c>
      <c r="F7" s="167" t="s">
        <v>640</v>
      </c>
      <c r="G7" s="167" t="s">
        <v>5790</v>
      </c>
      <c r="H7" s="168" t="s">
        <v>5792</v>
      </c>
      <c r="I7" s="167" t="s">
        <v>362</v>
      </c>
      <c r="J7" s="2"/>
    </row>
    <row r="8" customFormat="false" ht="105" hidden="false" customHeight="true" outlineLevel="0" collapsed="false">
      <c r="A8" s="2"/>
      <c r="B8" s="152" t="s">
        <v>360</v>
      </c>
      <c r="C8" s="163" t="n">
        <v>0.45</v>
      </c>
      <c r="D8" s="169" t="s">
        <v>614</v>
      </c>
      <c r="E8" s="165" t="s">
        <v>642</v>
      </c>
      <c r="F8" s="165" t="s">
        <v>643</v>
      </c>
      <c r="G8" s="165" t="s">
        <v>5790</v>
      </c>
      <c r="H8" s="166" t="s">
        <v>5793</v>
      </c>
      <c r="I8" s="165" t="s">
        <v>362</v>
      </c>
      <c r="J8" s="2"/>
    </row>
    <row r="9" customFormat="false" ht="90" hidden="false" customHeight="true" outlineLevel="0" collapsed="false">
      <c r="A9" s="2"/>
      <c r="B9" s="153" t="s">
        <v>396</v>
      </c>
      <c r="C9" s="163" t="n">
        <v>0.47</v>
      </c>
      <c r="D9" s="169" t="s">
        <v>614</v>
      </c>
      <c r="E9" s="167" t="s">
        <v>645</v>
      </c>
      <c r="F9" s="167" t="s">
        <v>646</v>
      </c>
      <c r="G9" s="167" t="s">
        <v>5794</v>
      </c>
      <c r="H9" s="168" t="s">
        <v>5795</v>
      </c>
      <c r="I9" s="167" t="s">
        <v>5796</v>
      </c>
      <c r="J9" s="2"/>
    </row>
    <row r="10" customFormat="false" ht="105" hidden="false" customHeight="true" outlineLevel="0" collapsed="false">
      <c r="A10" s="2"/>
      <c r="B10" s="154" t="s">
        <v>648</v>
      </c>
      <c r="C10" s="163" t="n">
        <v>0.53</v>
      </c>
      <c r="D10" s="170" t="s">
        <v>650</v>
      </c>
      <c r="E10" s="165" t="s">
        <v>643</v>
      </c>
      <c r="F10" s="165" t="s">
        <v>651</v>
      </c>
      <c r="G10" s="165" t="s">
        <v>5797</v>
      </c>
      <c r="H10" s="166" t="s">
        <v>5798</v>
      </c>
      <c r="I10" s="165" t="s">
        <v>805</v>
      </c>
      <c r="J10" s="2"/>
    </row>
    <row r="11" customFormat="false" ht="90" hidden="false" customHeight="true" outlineLevel="0" collapsed="false">
      <c r="A11" s="2"/>
      <c r="B11" s="155" t="s">
        <v>653</v>
      </c>
      <c r="C11" s="163" t="n">
        <v>0.56</v>
      </c>
      <c r="D11" s="170" t="s">
        <v>650</v>
      </c>
      <c r="E11" s="167" t="s">
        <v>646</v>
      </c>
      <c r="F11" s="167" t="s">
        <v>655</v>
      </c>
      <c r="G11" s="167" t="s">
        <v>5797</v>
      </c>
      <c r="H11" s="168" t="s">
        <v>5799</v>
      </c>
      <c r="I11" s="167" t="s">
        <v>5800</v>
      </c>
      <c r="J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90" hidden="false" customHeight="true" outlineLevel="0" collapsed="false">
      <c r="A13" s="2"/>
      <c r="B13" s="83" t="s">
        <v>657</v>
      </c>
      <c r="C13" s="83"/>
      <c r="D13" s="83"/>
      <c r="E13" s="83"/>
      <c r="F13" s="83"/>
      <c r="G13" s="83"/>
      <c r="H13" s="83"/>
      <c r="I13" s="83"/>
      <c r="J13" s="83"/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45" hidden="false" customHeight="true" outlineLevel="0" collapsed="false">
      <c r="A15" s="2"/>
      <c r="B15" s="171" t="s">
        <v>658</v>
      </c>
      <c r="C15" s="171"/>
      <c r="D15" s="171"/>
      <c r="E15" s="171"/>
      <c r="F15" s="171"/>
      <c r="G15" s="171"/>
      <c r="H15" s="171"/>
      <c r="I15" s="171"/>
      <c r="J15" s="2"/>
    </row>
    <row r="16" customFormat="false" ht="30" hidden="false" customHeight="true" outlineLevel="0" collapsed="false">
      <c r="A16" s="2"/>
      <c r="B16" s="172" t="s">
        <v>632</v>
      </c>
      <c r="C16" s="172" t="s">
        <v>659</v>
      </c>
      <c r="D16" s="172" t="s">
        <v>660</v>
      </c>
      <c r="E16" s="172" t="s">
        <v>661</v>
      </c>
      <c r="F16" s="172" t="s">
        <v>662</v>
      </c>
      <c r="G16" s="172" t="s">
        <v>5801</v>
      </c>
      <c r="H16" s="172" t="s">
        <v>5802</v>
      </c>
      <c r="I16" s="172" t="s">
        <v>5803</v>
      </c>
      <c r="J16" s="2"/>
    </row>
    <row r="17" customFormat="false" ht="75" hidden="false" customHeight="true" outlineLevel="0" collapsed="false">
      <c r="A17" s="2"/>
      <c r="B17" s="41" t="s">
        <v>664</v>
      </c>
      <c r="C17" s="41" t="s">
        <v>665</v>
      </c>
      <c r="D17" s="41" t="s">
        <v>666</v>
      </c>
      <c r="E17" s="41" t="s">
        <v>637</v>
      </c>
      <c r="F17" s="41" t="s">
        <v>646</v>
      </c>
      <c r="G17" s="41" t="s">
        <v>5804</v>
      </c>
      <c r="H17" s="24" t="s">
        <v>5805</v>
      </c>
      <c r="I17" s="24" t="s">
        <v>5806</v>
      </c>
      <c r="J17" s="2"/>
    </row>
    <row r="18" customFormat="false" ht="75" hidden="false" customHeight="true" outlineLevel="0" collapsed="false">
      <c r="A18" s="2"/>
      <c r="B18" s="41" t="s">
        <v>668</v>
      </c>
      <c r="C18" s="41" t="s">
        <v>665</v>
      </c>
      <c r="D18" s="41" t="s">
        <v>669</v>
      </c>
      <c r="E18" s="41" t="s">
        <v>637</v>
      </c>
      <c r="F18" s="41" t="s">
        <v>646</v>
      </c>
      <c r="G18" s="41" t="s">
        <v>5804</v>
      </c>
      <c r="H18" s="24" t="s">
        <v>5807</v>
      </c>
      <c r="I18" s="24" t="s">
        <v>5808</v>
      </c>
      <c r="J18" s="2"/>
    </row>
    <row r="19" customFormat="false" ht="60" hidden="false" customHeight="true" outlineLevel="0" collapsed="false">
      <c r="A19" s="2"/>
      <c r="B19" s="41" t="s">
        <v>671</v>
      </c>
      <c r="C19" s="41" t="s">
        <v>672</v>
      </c>
      <c r="D19" s="41" t="s">
        <v>673</v>
      </c>
      <c r="E19" s="41" t="s">
        <v>674</v>
      </c>
      <c r="F19" s="41" t="s">
        <v>646</v>
      </c>
      <c r="G19" s="41" t="s">
        <v>5809</v>
      </c>
      <c r="H19" s="24" t="s">
        <v>5810</v>
      </c>
      <c r="I19" s="24" t="s">
        <v>5811</v>
      </c>
      <c r="J19" s="2"/>
    </row>
    <row r="20" customFormat="false" ht="60" hidden="false" customHeight="true" outlineLevel="0" collapsed="false">
      <c r="A20" s="2"/>
      <c r="B20" s="41" t="s">
        <v>676</v>
      </c>
      <c r="C20" s="41" t="s">
        <v>677</v>
      </c>
      <c r="D20" s="41" t="s">
        <v>678</v>
      </c>
      <c r="E20" s="41" t="s">
        <v>637</v>
      </c>
      <c r="F20" s="41" t="s">
        <v>646</v>
      </c>
      <c r="G20" s="41" t="s">
        <v>5804</v>
      </c>
      <c r="H20" s="24" t="s">
        <v>5812</v>
      </c>
      <c r="I20" s="24" t="s">
        <v>5813</v>
      </c>
      <c r="J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60" hidden="false" customHeight="true" outlineLevel="0" collapsed="false">
      <c r="A22" s="2"/>
      <c r="B22" s="60" t="s">
        <v>680</v>
      </c>
      <c r="C22" s="2"/>
      <c r="D22" s="2"/>
      <c r="E22" s="2"/>
      <c r="F22" s="2"/>
      <c r="G22" s="2"/>
      <c r="H22" s="2"/>
      <c r="I22" s="2"/>
      <c r="J22" s="2"/>
    </row>
  </sheetData>
  <mergeCells count="4">
    <mergeCell ref="B2:J2"/>
    <mergeCell ref="B3:J3"/>
    <mergeCell ref="B13:J13"/>
    <mergeCell ref="B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6E"/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22"/>
    <col collapsed="false" customWidth="true" hidden="false" outlineLevel="0" max="5" min="5" style="1" width="14"/>
    <col collapsed="false" customWidth="true" hidden="false" outlineLevel="0" max="9" min="6" style="1" width="13"/>
    <col collapsed="false" customWidth="true" hidden="false" outlineLevel="0" max="10" min="10" style="1" width="10"/>
    <col collapsed="false" customWidth="true" hidden="false" outlineLevel="0" max="11" min="11" style="1" width="20"/>
    <col collapsed="false" customWidth="true" hidden="false" outlineLevel="0" max="12" min="12" style="1" width="28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84" t="s">
        <v>682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customFormat="false" ht="90" hidden="false" customHeight="true" outlineLevel="0" collapsed="false">
      <c r="A3" s="2"/>
      <c r="B3" s="85" t="s">
        <v>683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173" t="s">
        <v>684</v>
      </c>
      <c r="C5" s="173" t="s">
        <v>685</v>
      </c>
      <c r="D5" s="173" t="s">
        <v>686</v>
      </c>
      <c r="E5" s="173" t="s">
        <v>687</v>
      </c>
      <c r="F5" s="173" t="s">
        <v>688</v>
      </c>
      <c r="G5" s="173" t="s">
        <v>5814</v>
      </c>
      <c r="H5" s="173" t="s">
        <v>5815</v>
      </c>
      <c r="I5" s="173" t="s">
        <v>766</v>
      </c>
      <c r="J5" s="173" t="s">
        <v>765</v>
      </c>
      <c r="K5" s="173" t="s">
        <v>5816</v>
      </c>
      <c r="L5" s="173" t="s">
        <v>5817</v>
      </c>
      <c r="M5" s="2"/>
      <c r="N5" s="2"/>
    </row>
    <row r="6" customFormat="false" ht="30" hidden="false" customHeight="true" outlineLevel="0" collapsed="false">
      <c r="A6" s="2"/>
      <c r="B6" s="174" t="s">
        <v>690</v>
      </c>
      <c r="C6" s="175" t="s">
        <v>358</v>
      </c>
      <c r="D6" s="159" t="s">
        <v>691</v>
      </c>
      <c r="E6" s="176" t="n">
        <v>235</v>
      </c>
      <c r="F6" s="160" t="n">
        <v>360</v>
      </c>
      <c r="G6" s="160" t="n">
        <v>510</v>
      </c>
      <c r="H6" s="160" t="n">
        <v>26</v>
      </c>
      <c r="I6" s="145" t="n">
        <v>210</v>
      </c>
      <c r="J6" s="145" t="n">
        <v>7850</v>
      </c>
      <c r="K6" s="168" t="s">
        <v>5818</v>
      </c>
      <c r="L6" s="177" t="s">
        <v>5819</v>
      </c>
      <c r="M6" s="2"/>
      <c r="N6" s="2"/>
    </row>
    <row r="7" customFormat="false" ht="30" hidden="false" customHeight="true" outlineLevel="0" collapsed="false">
      <c r="A7" s="2"/>
      <c r="B7" s="174" t="s">
        <v>690</v>
      </c>
      <c r="C7" s="178" t="s">
        <v>359</v>
      </c>
      <c r="D7" s="179" t="s">
        <v>693</v>
      </c>
      <c r="E7" s="180" t="n">
        <v>275</v>
      </c>
      <c r="F7" s="181" t="n">
        <v>410</v>
      </c>
      <c r="G7" s="181" t="n">
        <v>560</v>
      </c>
      <c r="H7" s="181" t="n">
        <v>23</v>
      </c>
      <c r="I7" s="182" t="n">
        <v>210</v>
      </c>
      <c r="J7" s="182" t="n">
        <v>7850</v>
      </c>
      <c r="K7" s="183" t="s">
        <v>5818</v>
      </c>
      <c r="L7" s="184" t="s">
        <v>5820</v>
      </c>
      <c r="M7" s="2"/>
      <c r="N7" s="2"/>
    </row>
    <row r="8" customFormat="false" ht="30" hidden="false" customHeight="true" outlineLevel="0" collapsed="false">
      <c r="A8" s="2"/>
      <c r="B8" s="174" t="s">
        <v>690</v>
      </c>
      <c r="C8" s="185" t="s">
        <v>360</v>
      </c>
      <c r="D8" s="159" t="s">
        <v>695</v>
      </c>
      <c r="E8" s="176" t="n">
        <v>355</v>
      </c>
      <c r="F8" s="160" t="n">
        <v>470</v>
      </c>
      <c r="G8" s="160" t="n">
        <v>630</v>
      </c>
      <c r="H8" s="160" t="n">
        <v>22</v>
      </c>
      <c r="I8" s="145" t="n">
        <v>210</v>
      </c>
      <c r="J8" s="145" t="n">
        <v>7850</v>
      </c>
      <c r="K8" s="168" t="s">
        <v>5818</v>
      </c>
      <c r="L8" s="177" t="s">
        <v>5821</v>
      </c>
      <c r="M8" s="2"/>
      <c r="N8" s="2"/>
    </row>
    <row r="9" customFormat="false" ht="30" hidden="false" customHeight="true" outlineLevel="0" collapsed="false">
      <c r="A9" s="2"/>
      <c r="B9" s="174" t="s">
        <v>690</v>
      </c>
      <c r="C9" s="186" t="s">
        <v>396</v>
      </c>
      <c r="D9" s="179" t="s">
        <v>698</v>
      </c>
      <c r="E9" s="180" t="n">
        <v>420</v>
      </c>
      <c r="F9" s="181" t="n">
        <v>520</v>
      </c>
      <c r="G9" s="181" t="n">
        <v>680</v>
      </c>
      <c r="H9" s="181" t="n">
        <v>19</v>
      </c>
      <c r="I9" s="182" t="n">
        <v>210</v>
      </c>
      <c r="J9" s="182" t="n">
        <v>7850</v>
      </c>
      <c r="K9" s="183" t="s">
        <v>5822</v>
      </c>
      <c r="L9" s="184" t="s">
        <v>5823</v>
      </c>
      <c r="M9" s="2"/>
      <c r="N9" s="2"/>
    </row>
    <row r="10" customFormat="false" ht="30" hidden="false" customHeight="true" outlineLevel="0" collapsed="false">
      <c r="A10" s="2"/>
      <c r="B10" s="174" t="s">
        <v>690</v>
      </c>
      <c r="C10" s="187" t="s">
        <v>648</v>
      </c>
      <c r="D10" s="159" t="s">
        <v>701</v>
      </c>
      <c r="E10" s="176" t="n">
        <v>460</v>
      </c>
      <c r="F10" s="160" t="n">
        <v>540</v>
      </c>
      <c r="G10" s="160" t="n">
        <v>720</v>
      </c>
      <c r="H10" s="160" t="n">
        <v>17</v>
      </c>
      <c r="I10" s="145" t="n">
        <v>210</v>
      </c>
      <c r="J10" s="145" t="n">
        <v>7850</v>
      </c>
      <c r="K10" s="168" t="s">
        <v>5824</v>
      </c>
      <c r="L10" s="177" t="s">
        <v>5825</v>
      </c>
      <c r="M10" s="2"/>
      <c r="N10" s="2"/>
    </row>
    <row r="11" customFormat="false" ht="30" hidden="false" customHeight="true" outlineLevel="0" collapsed="false">
      <c r="A11" s="2"/>
      <c r="B11" s="174" t="s">
        <v>690</v>
      </c>
      <c r="C11" s="188" t="s">
        <v>653</v>
      </c>
      <c r="D11" s="179" t="s">
        <v>704</v>
      </c>
      <c r="E11" s="180" t="n">
        <v>500</v>
      </c>
      <c r="F11" s="181" t="n">
        <v>590</v>
      </c>
      <c r="G11" s="181" t="n">
        <v>770</v>
      </c>
      <c r="H11" s="181" t="n">
        <v>17</v>
      </c>
      <c r="I11" s="182" t="n">
        <v>210</v>
      </c>
      <c r="J11" s="182" t="n">
        <v>7850</v>
      </c>
      <c r="K11" s="183" t="s">
        <v>5826</v>
      </c>
      <c r="L11" s="184" t="s">
        <v>5827</v>
      </c>
      <c r="M11" s="2"/>
      <c r="N11" s="2"/>
    </row>
    <row r="12" customFormat="false" ht="30" hidden="false" customHeight="true" outlineLevel="0" collapsed="false">
      <c r="A12" s="2"/>
      <c r="B12" s="189" t="s">
        <v>707</v>
      </c>
      <c r="C12" s="190" t="s">
        <v>137</v>
      </c>
      <c r="D12" s="159" t="s">
        <v>708</v>
      </c>
      <c r="E12" s="176" t="n">
        <v>210</v>
      </c>
      <c r="F12" s="160" t="n">
        <v>520</v>
      </c>
      <c r="G12" s="160" t="n">
        <v>720</v>
      </c>
      <c r="H12" s="160" t="n">
        <v>45</v>
      </c>
      <c r="I12" s="145" t="n">
        <v>200</v>
      </c>
      <c r="J12" s="145" t="n">
        <v>7900</v>
      </c>
      <c r="K12" s="168" t="s">
        <v>5828</v>
      </c>
      <c r="L12" s="177" t="s">
        <v>5829</v>
      </c>
      <c r="M12" s="2"/>
      <c r="N12" s="2"/>
    </row>
    <row r="13" customFormat="false" ht="30" hidden="false" customHeight="true" outlineLevel="0" collapsed="false">
      <c r="A13" s="2"/>
      <c r="B13" s="189" t="s">
        <v>707</v>
      </c>
      <c r="C13" s="191" t="s">
        <v>710</v>
      </c>
      <c r="D13" s="179" t="s">
        <v>711</v>
      </c>
      <c r="E13" s="180" t="n">
        <v>200</v>
      </c>
      <c r="F13" s="181" t="n">
        <v>500</v>
      </c>
      <c r="G13" s="181" t="n">
        <v>700</v>
      </c>
      <c r="H13" s="181" t="n">
        <v>45</v>
      </c>
      <c r="I13" s="182" t="n">
        <v>200</v>
      </c>
      <c r="J13" s="182" t="n">
        <v>7900</v>
      </c>
      <c r="K13" s="183" t="s">
        <v>5828</v>
      </c>
      <c r="L13" s="184" t="s">
        <v>5830</v>
      </c>
      <c r="M13" s="2"/>
      <c r="N13" s="2"/>
    </row>
    <row r="14" customFormat="false" ht="30" hidden="false" customHeight="true" outlineLevel="0" collapsed="false">
      <c r="A14" s="2"/>
      <c r="B14" s="189" t="s">
        <v>707</v>
      </c>
      <c r="C14" s="192" t="s">
        <v>714</v>
      </c>
      <c r="D14" s="159" t="s">
        <v>715</v>
      </c>
      <c r="E14" s="176" t="n">
        <v>220</v>
      </c>
      <c r="F14" s="160" t="n">
        <v>520</v>
      </c>
      <c r="G14" s="160" t="n">
        <v>670</v>
      </c>
      <c r="H14" s="160" t="n">
        <v>45</v>
      </c>
      <c r="I14" s="145" t="n">
        <v>200</v>
      </c>
      <c r="J14" s="145" t="n">
        <v>7980</v>
      </c>
      <c r="K14" s="168" t="s">
        <v>5828</v>
      </c>
      <c r="L14" s="177" t="s">
        <v>5831</v>
      </c>
      <c r="M14" s="2"/>
      <c r="N14" s="2"/>
    </row>
    <row r="15" customFormat="false" ht="30" hidden="false" customHeight="true" outlineLevel="0" collapsed="false">
      <c r="A15" s="2"/>
      <c r="B15" s="189" t="s">
        <v>707</v>
      </c>
      <c r="C15" s="191" t="s">
        <v>718</v>
      </c>
      <c r="D15" s="179" t="s">
        <v>719</v>
      </c>
      <c r="E15" s="180" t="n">
        <v>200</v>
      </c>
      <c r="F15" s="181" t="n">
        <v>500</v>
      </c>
      <c r="G15" s="181" t="n">
        <v>700</v>
      </c>
      <c r="H15" s="181" t="n">
        <v>45</v>
      </c>
      <c r="I15" s="182" t="n">
        <v>200</v>
      </c>
      <c r="J15" s="182" t="n">
        <v>7980</v>
      </c>
      <c r="K15" s="183" t="s">
        <v>5828</v>
      </c>
      <c r="L15" s="184" t="s">
        <v>5832</v>
      </c>
      <c r="M15" s="2"/>
      <c r="N15" s="2"/>
    </row>
    <row r="16" customFormat="false" ht="30" hidden="false" customHeight="true" outlineLevel="0" collapsed="false">
      <c r="A16" s="2"/>
      <c r="B16" s="189" t="s">
        <v>707</v>
      </c>
      <c r="C16" s="191" t="s">
        <v>721</v>
      </c>
      <c r="D16" s="159" t="s">
        <v>722</v>
      </c>
      <c r="E16" s="176" t="n">
        <v>450</v>
      </c>
      <c r="F16" s="160" t="n">
        <v>650</v>
      </c>
      <c r="G16" s="160" t="n">
        <v>880</v>
      </c>
      <c r="H16" s="160" t="n">
        <v>25</v>
      </c>
      <c r="I16" s="145" t="n">
        <v>200</v>
      </c>
      <c r="J16" s="145" t="n">
        <v>7800</v>
      </c>
      <c r="K16" s="168" t="s">
        <v>5828</v>
      </c>
      <c r="L16" s="177" t="s">
        <v>5833</v>
      </c>
      <c r="M16" s="2"/>
      <c r="N16" s="2"/>
    </row>
    <row r="17" customFormat="false" ht="30" hidden="false" customHeight="true" outlineLevel="0" collapsed="false">
      <c r="A17" s="2"/>
      <c r="B17" s="193" t="s">
        <v>726</v>
      </c>
      <c r="C17" s="194" t="s">
        <v>727</v>
      </c>
      <c r="D17" s="179" t="s">
        <v>728</v>
      </c>
      <c r="E17" s="180" t="n">
        <v>255</v>
      </c>
      <c r="F17" s="181" t="n">
        <v>300</v>
      </c>
      <c r="G17" s="181" t="n">
        <v>360</v>
      </c>
      <c r="H17" s="181" t="n">
        <v>10</v>
      </c>
      <c r="I17" s="182" t="n">
        <v>70</v>
      </c>
      <c r="J17" s="182" t="n">
        <v>2700</v>
      </c>
      <c r="K17" s="183" t="s">
        <v>5834</v>
      </c>
      <c r="L17" s="184" t="s">
        <v>5835</v>
      </c>
      <c r="M17" s="2"/>
      <c r="N17" s="2"/>
    </row>
    <row r="18" customFormat="false" ht="30" hidden="false" customHeight="true" outlineLevel="0" collapsed="false">
      <c r="A18" s="2"/>
      <c r="B18" s="193" t="s">
        <v>726</v>
      </c>
      <c r="C18" s="194" t="s">
        <v>727</v>
      </c>
      <c r="D18" s="159" t="s">
        <v>731</v>
      </c>
      <c r="E18" s="176" t="n">
        <v>240</v>
      </c>
      <c r="F18" s="160" t="n">
        <v>295</v>
      </c>
      <c r="G18" s="160" t="n">
        <v>360</v>
      </c>
      <c r="H18" s="160" t="n">
        <v>9</v>
      </c>
      <c r="I18" s="145" t="n">
        <v>70</v>
      </c>
      <c r="J18" s="145" t="n">
        <v>2700</v>
      </c>
      <c r="K18" s="168" t="s">
        <v>5834</v>
      </c>
      <c r="L18" s="177" t="s">
        <v>5836</v>
      </c>
      <c r="M18" s="2"/>
      <c r="N18" s="2"/>
    </row>
    <row r="19" customFormat="false" ht="30" hidden="false" customHeight="true" outlineLevel="0" collapsed="false">
      <c r="A19" s="2"/>
      <c r="B19" s="193" t="s">
        <v>726</v>
      </c>
      <c r="C19" s="195" t="s">
        <v>734</v>
      </c>
      <c r="D19" s="179" t="s">
        <v>735</v>
      </c>
      <c r="E19" s="180" t="n">
        <v>110</v>
      </c>
      <c r="F19" s="181" t="n">
        <v>205</v>
      </c>
      <c r="G19" s="181" t="n">
        <v>270</v>
      </c>
      <c r="H19" s="181" t="n">
        <v>14</v>
      </c>
      <c r="I19" s="182" t="n">
        <v>70</v>
      </c>
      <c r="J19" s="182" t="n">
        <v>2700</v>
      </c>
      <c r="K19" s="183" t="s">
        <v>5837</v>
      </c>
      <c r="L19" s="184" t="s">
        <v>5838</v>
      </c>
      <c r="M19" s="2"/>
      <c r="N19" s="2"/>
    </row>
    <row r="20" customFormat="false" ht="30" hidden="false" customHeight="true" outlineLevel="0" collapsed="false">
      <c r="A20" s="2"/>
      <c r="B20" s="193" t="s">
        <v>726</v>
      </c>
      <c r="C20" s="196" t="s">
        <v>738</v>
      </c>
      <c r="D20" s="159" t="s">
        <v>739</v>
      </c>
      <c r="E20" s="176" t="n">
        <v>276</v>
      </c>
      <c r="F20" s="160" t="n">
        <v>310</v>
      </c>
      <c r="G20" s="160" t="n">
        <v>350</v>
      </c>
      <c r="H20" s="160" t="n">
        <v>12</v>
      </c>
      <c r="I20" s="145" t="n">
        <v>69</v>
      </c>
      <c r="J20" s="145" t="n">
        <v>2700</v>
      </c>
      <c r="K20" s="168" t="s">
        <v>5839</v>
      </c>
      <c r="L20" s="177" t="s">
        <v>5840</v>
      </c>
      <c r="M20" s="2"/>
      <c r="N20" s="2"/>
    </row>
    <row r="21" customFormat="false" ht="30" hidden="false" customHeight="true" outlineLevel="0" collapsed="false">
      <c r="A21" s="2"/>
      <c r="B21" s="193" t="s">
        <v>726</v>
      </c>
      <c r="C21" s="197" t="s">
        <v>743</v>
      </c>
      <c r="D21" s="179" t="s">
        <v>744</v>
      </c>
      <c r="E21" s="180" t="n">
        <v>145</v>
      </c>
      <c r="F21" s="181" t="n">
        <v>240</v>
      </c>
      <c r="G21" s="181" t="n">
        <v>290</v>
      </c>
      <c r="H21" s="181" t="n">
        <v>16</v>
      </c>
      <c r="I21" s="182" t="n">
        <v>69</v>
      </c>
      <c r="J21" s="182" t="n">
        <v>2700</v>
      </c>
      <c r="K21" s="183" t="s">
        <v>5841</v>
      </c>
      <c r="L21" s="184" t="s">
        <v>5842</v>
      </c>
      <c r="M21" s="2"/>
      <c r="N21" s="2"/>
    </row>
    <row r="22" customFormat="false" ht="45" hidden="false" customHeight="true" outlineLevel="0" collapsed="false">
      <c r="A22" s="2"/>
      <c r="B22" s="193" t="s">
        <v>726</v>
      </c>
      <c r="C22" s="198" t="s">
        <v>747</v>
      </c>
      <c r="D22" s="159" t="s">
        <v>748</v>
      </c>
      <c r="E22" s="176" t="n">
        <v>125</v>
      </c>
      <c r="F22" s="160" t="n">
        <v>270</v>
      </c>
      <c r="G22" s="160" t="n">
        <v>350</v>
      </c>
      <c r="H22" s="160" t="n">
        <v>12</v>
      </c>
      <c r="I22" s="145" t="n">
        <v>70</v>
      </c>
      <c r="J22" s="145" t="n">
        <v>2660</v>
      </c>
      <c r="K22" s="168" t="s">
        <v>5834</v>
      </c>
      <c r="L22" s="177" t="s">
        <v>5843</v>
      </c>
      <c r="M22" s="2"/>
      <c r="N22" s="2"/>
    </row>
    <row r="23" customFormat="false" ht="30" hidden="false" customHeight="true" outlineLevel="0" collapsed="false">
      <c r="A23" s="2"/>
      <c r="B23" s="193" t="s">
        <v>726</v>
      </c>
      <c r="C23" s="199" t="s">
        <v>752</v>
      </c>
      <c r="D23" s="179" t="s">
        <v>753</v>
      </c>
      <c r="E23" s="180" t="n">
        <v>160</v>
      </c>
      <c r="F23" s="181" t="n">
        <v>190</v>
      </c>
      <c r="G23" s="181" t="n">
        <v>230</v>
      </c>
      <c r="H23" s="181" t="n">
        <v>10</v>
      </c>
      <c r="I23" s="182" t="n">
        <v>69</v>
      </c>
      <c r="J23" s="182" t="n">
        <v>2690</v>
      </c>
      <c r="K23" s="183" t="s">
        <v>5837</v>
      </c>
      <c r="L23" s="184" t="s">
        <v>5844</v>
      </c>
      <c r="M23" s="2"/>
      <c r="N23" s="2"/>
    </row>
    <row r="24" customFormat="false" ht="45" hidden="false" customHeight="true" outlineLevel="0" collapsed="false">
      <c r="A24" s="2"/>
      <c r="B24" s="193" t="s">
        <v>726</v>
      </c>
      <c r="C24" s="191" t="s">
        <v>757</v>
      </c>
      <c r="D24" s="159" t="s">
        <v>758</v>
      </c>
      <c r="E24" s="176" t="n">
        <v>290</v>
      </c>
      <c r="F24" s="160" t="n">
        <v>350</v>
      </c>
      <c r="G24" s="160" t="n">
        <v>420</v>
      </c>
      <c r="H24" s="160" t="n">
        <v>10</v>
      </c>
      <c r="I24" s="145" t="n">
        <v>71</v>
      </c>
      <c r="J24" s="145" t="n">
        <v>2780</v>
      </c>
      <c r="K24" s="168" t="s">
        <v>5845</v>
      </c>
      <c r="L24" s="177" t="s">
        <v>5846</v>
      </c>
      <c r="M24" s="2"/>
      <c r="N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customFormat="false" ht="120" hidden="false" customHeight="true" outlineLevel="0" collapsed="false">
      <c r="A26" s="2"/>
      <c r="B26" s="83" t="s">
        <v>761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2"/>
      <c r="N26" s="2"/>
    </row>
  </sheetData>
  <autoFilter ref="B5:N26"/>
  <mergeCells count="3">
    <mergeCell ref="B2:N2"/>
    <mergeCell ref="B3:N3"/>
    <mergeCell ref="B26:L26"/>
  </mergeCells>
  <conditionalFormatting sqref="E6:E24">
    <cfRule type="colorScale" priority="2">
      <colorScale>
        <cfvo type="min" val="0"/>
        <cfvo type="percentile" val="50"/>
        <cfvo type="max" val="0"/>
        <color rgb="FFFAFAFA"/>
        <color rgb="FFBCE2E7"/>
        <color rgb="FF1B3A5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101"/>
    <pageSetUpPr fitToPage="false"/>
  </sheetPr>
  <dimension ref="A1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4"/>
    <col collapsed="false" customWidth="true" hidden="false" outlineLevel="0" max="5" min="4" style="1" width="12"/>
    <col collapsed="false" customWidth="true" hidden="false" outlineLevel="0" max="10" min="6" style="1" width="16"/>
    <col collapsed="false" customWidth="true" hidden="false" outlineLevel="0" max="11" min="11" style="1" width="20"/>
    <col collapsed="false" customWidth="true" hidden="false" outlineLevel="0" max="12" min="12" style="1" width="2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5" hidden="false" customHeight="true" outlineLevel="0" collapsed="false">
      <c r="A2" s="2"/>
      <c r="B2" s="84" t="s">
        <v>762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customFormat="false" ht="75" hidden="false" customHeight="true" outlineLevel="0" collapsed="false">
      <c r="A3" s="2"/>
      <c r="B3" s="85" t="s">
        <v>763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60" hidden="false" customHeight="true" outlineLevel="0" collapsed="false">
      <c r="A5" s="2"/>
      <c r="B5" s="173" t="s">
        <v>685</v>
      </c>
      <c r="C5" s="173" t="s">
        <v>684</v>
      </c>
      <c r="D5" s="173" t="s">
        <v>764</v>
      </c>
      <c r="E5" s="173" t="s">
        <v>765</v>
      </c>
      <c r="F5" s="173" t="s">
        <v>766</v>
      </c>
      <c r="G5" s="173" t="s">
        <v>5847</v>
      </c>
      <c r="H5" s="173" t="s">
        <v>5848</v>
      </c>
      <c r="I5" s="173" t="s">
        <v>5849</v>
      </c>
      <c r="J5" s="173" t="s">
        <v>5850</v>
      </c>
      <c r="K5" s="173" t="s">
        <v>5851</v>
      </c>
      <c r="L5" s="173" t="s">
        <v>5852</v>
      </c>
      <c r="M5" s="2"/>
    </row>
    <row r="6" customFormat="false" ht="45" hidden="false" customHeight="true" outlineLevel="0" collapsed="false">
      <c r="A6" s="2"/>
      <c r="B6" s="87" t="s">
        <v>358</v>
      </c>
      <c r="C6" s="173" t="s">
        <v>690</v>
      </c>
      <c r="D6" s="160" t="n">
        <v>235</v>
      </c>
      <c r="E6" s="160" t="n">
        <v>7850</v>
      </c>
      <c r="F6" s="160" t="n">
        <v>210</v>
      </c>
      <c r="G6" s="200" t="n">
        <f aca="false">(D6/E6)*1000</f>
        <v>29.9363057324841</v>
      </c>
      <c r="H6" s="201" t="n">
        <f aca="false">(F6/E6)*1000</f>
        <v>26.7515923566879</v>
      </c>
      <c r="I6" s="202" t="n">
        <f aca="false">D6/$D$7</f>
        <v>0.854545454545455</v>
      </c>
      <c r="J6" s="202" t="n">
        <f aca="false">F6/$F$7</f>
        <v>1</v>
      </c>
      <c r="K6" s="168" t="s">
        <v>5853</v>
      </c>
      <c r="L6" s="177" t="s">
        <v>5854</v>
      </c>
      <c r="M6" s="2"/>
    </row>
    <row r="7" customFormat="false" ht="30" hidden="false" customHeight="true" outlineLevel="0" collapsed="false">
      <c r="A7" s="2"/>
      <c r="B7" s="88" t="s">
        <v>359</v>
      </c>
      <c r="C7" s="173" t="s">
        <v>690</v>
      </c>
      <c r="D7" s="181" t="n">
        <v>275</v>
      </c>
      <c r="E7" s="181" t="n">
        <v>7850</v>
      </c>
      <c r="F7" s="181" t="n">
        <v>210</v>
      </c>
      <c r="G7" s="200" t="n">
        <f aca="false">(D7/E7)*1000</f>
        <v>35.031847133758</v>
      </c>
      <c r="H7" s="201" t="n">
        <f aca="false">(F7/E7)*1000</f>
        <v>26.7515923566879</v>
      </c>
      <c r="I7" s="202" t="n">
        <f aca="false">D7/$D$7</f>
        <v>1</v>
      </c>
      <c r="J7" s="202" t="n">
        <f aca="false">F7/$F$7</f>
        <v>1</v>
      </c>
      <c r="K7" s="183" t="s">
        <v>5853</v>
      </c>
      <c r="L7" s="184" t="s">
        <v>5855</v>
      </c>
      <c r="M7" s="2"/>
    </row>
    <row r="8" customFormat="false" ht="30" hidden="false" customHeight="true" outlineLevel="0" collapsed="false">
      <c r="A8" s="2"/>
      <c r="B8" s="89" t="s">
        <v>360</v>
      </c>
      <c r="C8" s="173" t="s">
        <v>690</v>
      </c>
      <c r="D8" s="160" t="n">
        <v>355</v>
      </c>
      <c r="E8" s="160" t="n">
        <v>7850</v>
      </c>
      <c r="F8" s="160" t="n">
        <v>210</v>
      </c>
      <c r="G8" s="200" t="n">
        <f aca="false">(D8/E8)*1000</f>
        <v>45.2229299363057</v>
      </c>
      <c r="H8" s="201" t="n">
        <f aca="false">(F8/E8)*1000</f>
        <v>26.7515923566879</v>
      </c>
      <c r="I8" s="202" t="n">
        <f aca="false">D8/$D$7</f>
        <v>1.29090909090909</v>
      </c>
      <c r="J8" s="202" t="n">
        <f aca="false">F8/$F$7</f>
        <v>1</v>
      </c>
      <c r="K8" s="168" t="s">
        <v>5853</v>
      </c>
      <c r="L8" s="177" t="s">
        <v>5856</v>
      </c>
      <c r="M8" s="2"/>
    </row>
    <row r="9" customFormat="false" ht="30" hidden="false" customHeight="true" outlineLevel="0" collapsed="false">
      <c r="A9" s="2"/>
      <c r="B9" s="91" t="s">
        <v>648</v>
      </c>
      <c r="C9" s="173" t="s">
        <v>690</v>
      </c>
      <c r="D9" s="181" t="n">
        <v>460</v>
      </c>
      <c r="E9" s="181" t="n">
        <v>7850</v>
      </c>
      <c r="F9" s="181" t="n">
        <v>210</v>
      </c>
      <c r="G9" s="200" t="n">
        <f aca="false">(D9/E9)*1000</f>
        <v>58.5987261146497</v>
      </c>
      <c r="H9" s="201" t="n">
        <f aca="false">(F9/E9)*1000</f>
        <v>26.7515923566879</v>
      </c>
      <c r="I9" s="202" t="n">
        <f aca="false">D9/$D$7</f>
        <v>1.67272727272727</v>
      </c>
      <c r="J9" s="202" t="n">
        <f aca="false">F9/$F$7</f>
        <v>1</v>
      </c>
      <c r="K9" s="183" t="s">
        <v>5853</v>
      </c>
      <c r="L9" s="184" t="s">
        <v>5857</v>
      </c>
      <c r="M9" s="2"/>
    </row>
    <row r="10" customFormat="false" ht="30" hidden="false" customHeight="true" outlineLevel="0" collapsed="false">
      <c r="A10" s="2"/>
      <c r="B10" s="92" t="s">
        <v>653</v>
      </c>
      <c r="C10" s="173" t="s">
        <v>690</v>
      </c>
      <c r="D10" s="160" t="n">
        <v>500</v>
      </c>
      <c r="E10" s="160" t="n">
        <v>7850</v>
      </c>
      <c r="F10" s="160" t="n">
        <v>210</v>
      </c>
      <c r="G10" s="200" t="n">
        <f aca="false">(D10/E10)*1000</f>
        <v>63.6942675159236</v>
      </c>
      <c r="H10" s="201" t="n">
        <f aca="false">(F10/E10)*1000</f>
        <v>26.7515923566879</v>
      </c>
      <c r="I10" s="202" t="n">
        <f aca="false">D10/$D$7</f>
        <v>1.81818181818182</v>
      </c>
      <c r="J10" s="202" t="n">
        <f aca="false">F10/$F$7</f>
        <v>1</v>
      </c>
      <c r="K10" s="168" t="s">
        <v>5853</v>
      </c>
      <c r="L10" s="177" t="s">
        <v>5858</v>
      </c>
      <c r="M10" s="2"/>
    </row>
    <row r="11" customFormat="false" ht="30" hidden="false" customHeight="true" outlineLevel="0" collapsed="false">
      <c r="A11" s="2"/>
      <c r="B11" s="87" t="s">
        <v>137</v>
      </c>
      <c r="C11" s="203" t="s">
        <v>707</v>
      </c>
      <c r="D11" s="181" t="n">
        <v>210</v>
      </c>
      <c r="E11" s="181" t="n">
        <v>7900</v>
      </c>
      <c r="F11" s="181" t="n">
        <v>200</v>
      </c>
      <c r="G11" s="200" t="n">
        <f aca="false">(D11/E11)*1000</f>
        <v>26.5822784810127</v>
      </c>
      <c r="H11" s="201" t="n">
        <f aca="false">(F11/E11)*1000</f>
        <v>25.3164556962025</v>
      </c>
      <c r="I11" s="202" t="n">
        <f aca="false">D11/$D$7</f>
        <v>0.763636363636364</v>
      </c>
      <c r="J11" s="202" t="n">
        <f aca="false">F11/$F$7</f>
        <v>0.952380952380952</v>
      </c>
      <c r="K11" s="183" t="s">
        <v>5859</v>
      </c>
      <c r="L11" s="184" t="s">
        <v>5860</v>
      </c>
      <c r="M11" s="2"/>
    </row>
    <row r="12" customFormat="false" ht="30" hidden="false" customHeight="true" outlineLevel="0" collapsed="false">
      <c r="A12" s="2"/>
      <c r="B12" s="204" t="s">
        <v>714</v>
      </c>
      <c r="C12" s="203" t="s">
        <v>707</v>
      </c>
      <c r="D12" s="160" t="n">
        <v>220</v>
      </c>
      <c r="E12" s="160" t="n">
        <v>7980</v>
      </c>
      <c r="F12" s="160" t="n">
        <v>200</v>
      </c>
      <c r="G12" s="200" t="n">
        <f aca="false">(D12/E12)*1000</f>
        <v>27.5689223057644</v>
      </c>
      <c r="H12" s="201" t="n">
        <f aca="false">(F12/E12)*1000</f>
        <v>25.062656641604</v>
      </c>
      <c r="I12" s="202" t="n">
        <f aca="false">D12/$D$7</f>
        <v>0.8</v>
      </c>
      <c r="J12" s="202" t="n">
        <f aca="false">F12/$F$7</f>
        <v>0.952380952380952</v>
      </c>
      <c r="K12" s="168" t="s">
        <v>5861</v>
      </c>
      <c r="L12" s="177" t="s">
        <v>5862</v>
      </c>
      <c r="M12" s="2"/>
    </row>
    <row r="13" customFormat="false" ht="45" hidden="false" customHeight="true" outlineLevel="0" collapsed="false">
      <c r="A13" s="2"/>
      <c r="B13" s="205" t="s">
        <v>721</v>
      </c>
      <c r="C13" s="203" t="s">
        <v>707</v>
      </c>
      <c r="D13" s="181" t="n">
        <v>450</v>
      </c>
      <c r="E13" s="181" t="n">
        <v>7800</v>
      </c>
      <c r="F13" s="181" t="n">
        <v>200</v>
      </c>
      <c r="G13" s="200" t="n">
        <f aca="false">(D13/E13)*1000</f>
        <v>57.6923076923077</v>
      </c>
      <c r="H13" s="201" t="n">
        <f aca="false">(F13/E13)*1000</f>
        <v>25.6410256410256</v>
      </c>
      <c r="I13" s="202" t="n">
        <f aca="false">D13/$D$7</f>
        <v>1.63636363636364</v>
      </c>
      <c r="J13" s="202" t="n">
        <f aca="false">F13/$F$7</f>
        <v>0.952380952380952</v>
      </c>
      <c r="K13" s="183" t="s">
        <v>5863</v>
      </c>
      <c r="L13" s="184" t="s">
        <v>5864</v>
      </c>
      <c r="M13" s="2"/>
    </row>
    <row r="14" customFormat="false" ht="30" hidden="false" customHeight="true" outlineLevel="0" collapsed="false">
      <c r="A14" s="2"/>
      <c r="B14" s="91" t="s">
        <v>727</v>
      </c>
      <c r="C14" s="206" t="s">
        <v>726</v>
      </c>
      <c r="D14" s="160" t="n">
        <v>255</v>
      </c>
      <c r="E14" s="160" t="n">
        <v>2700</v>
      </c>
      <c r="F14" s="160" t="n">
        <v>70</v>
      </c>
      <c r="G14" s="200" t="n">
        <f aca="false">(D14/E14)*1000</f>
        <v>94.4444444444444</v>
      </c>
      <c r="H14" s="201" t="n">
        <f aca="false">(F14/E14)*1000</f>
        <v>25.9259259259259</v>
      </c>
      <c r="I14" s="202" t="n">
        <f aca="false">D14/$D$7</f>
        <v>0.927272727272727</v>
      </c>
      <c r="J14" s="202" t="n">
        <f aca="false">F14/$F$7</f>
        <v>0.333333333333333</v>
      </c>
      <c r="K14" s="168" t="s">
        <v>5865</v>
      </c>
      <c r="L14" s="177" t="s">
        <v>5866</v>
      </c>
      <c r="M14" s="2"/>
    </row>
    <row r="15" customFormat="false" ht="45" hidden="false" customHeight="true" outlineLevel="0" collapsed="false">
      <c r="A15" s="2"/>
      <c r="B15" s="207" t="s">
        <v>738</v>
      </c>
      <c r="C15" s="206" t="s">
        <v>726</v>
      </c>
      <c r="D15" s="181" t="n">
        <v>276</v>
      </c>
      <c r="E15" s="181" t="n">
        <v>2700</v>
      </c>
      <c r="F15" s="181" t="n">
        <v>69</v>
      </c>
      <c r="G15" s="200" t="n">
        <f aca="false">(D15/E15)*1000</f>
        <v>102.222222222222</v>
      </c>
      <c r="H15" s="201" t="n">
        <f aca="false">(F15/E15)*1000</f>
        <v>25.5555555555556</v>
      </c>
      <c r="I15" s="202" t="n">
        <f aca="false">D15/$D$7</f>
        <v>1.00363636363636</v>
      </c>
      <c r="J15" s="202" t="n">
        <f aca="false">F15/$F$7</f>
        <v>0.328571428571429</v>
      </c>
      <c r="K15" s="183" t="s">
        <v>5865</v>
      </c>
      <c r="L15" s="184" t="s">
        <v>5867</v>
      </c>
      <c r="M15" s="2"/>
    </row>
    <row r="16" customFormat="false" ht="30" hidden="false" customHeight="true" outlineLevel="0" collapsed="false">
      <c r="A16" s="2"/>
      <c r="B16" s="208" t="s">
        <v>747</v>
      </c>
      <c r="C16" s="206" t="s">
        <v>726</v>
      </c>
      <c r="D16" s="160" t="n">
        <v>125</v>
      </c>
      <c r="E16" s="160" t="n">
        <v>2660</v>
      </c>
      <c r="F16" s="160" t="n">
        <v>70</v>
      </c>
      <c r="G16" s="200" t="n">
        <f aca="false">(D16/E16)*1000</f>
        <v>46.9924812030075</v>
      </c>
      <c r="H16" s="201" t="n">
        <f aca="false">(F16/E16)*1000</f>
        <v>26.3157894736842</v>
      </c>
      <c r="I16" s="202" t="n">
        <f aca="false">D16/$D$7</f>
        <v>0.454545454545455</v>
      </c>
      <c r="J16" s="202" t="n">
        <f aca="false">F16/$F$7</f>
        <v>0.333333333333333</v>
      </c>
      <c r="K16" s="168" t="s">
        <v>5868</v>
      </c>
      <c r="L16" s="177" t="s">
        <v>5869</v>
      </c>
      <c r="M16" s="2"/>
    </row>
    <row r="17" customFormat="false" ht="30" hidden="false" customHeight="true" outlineLevel="0" collapsed="false">
      <c r="A17" s="2"/>
      <c r="B17" s="205" t="s">
        <v>757</v>
      </c>
      <c r="C17" s="206" t="s">
        <v>726</v>
      </c>
      <c r="D17" s="181" t="n">
        <v>290</v>
      </c>
      <c r="E17" s="181" t="n">
        <v>2780</v>
      </c>
      <c r="F17" s="181" t="n">
        <v>71</v>
      </c>
      <c r="G17" s="200" t="n">
        <f aca="false">(D17/E17)*1000</f>
        <v>104.31654676259</v>
      </c>
      <c r="H17" s="201" t="n">
        <f aca="false">(F17/E17)*1000</f>
        <v>25.5395683453237</v>
      </c>
      <c r="I17" s="202" t="n">
        <f aca="false">D17/$D$7</f>
        <v>1.05454545454545</v>
      </c>
      <c r="J17" s="202" t="n">
        <f aca="false">F17/$F$7</f>
        <v>0.338095238095238</v>
      </c>
      <c r="K17" s="183" t="s">
        <v>614</v>
      </c>
      <c r="L17" s="184" t="s">
        <v>5870</v>
      </c>
      <c r="M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customFormat="false" ht="120" hidden="false" customHeight="true" outlineLevel="0" collapsed="false">
      <c r="A19" s="2"/>
      <c r="B19" s="83" t="s">
        <v>789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2"/>
    </row>
    <row r="20" customFormat="false" ht="120" hidden="false" customHeight="true" outlineLevel="0" collapsed="false">
      <c r="A20" s="2"/>
      <c r="B20" s="83" t="s">
        <v>790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2"/>
    </row>
  </sheetData>
  <mergeCells count="4">
    <mergeCell ref="B2:M2"/>
    <mergeCell ref="B3:M3"/>
    <mergeCell ref="B19:L19"/>
    <mergeCell ref="B20:L20"/>
  </mergeCells>
  <conditionalFormatting sqref="G6:G1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{35279E5E-9A80-4087-89B3-612857164F9A}</x14:id>
        </ext>
      </extLst>
    </cfRule>
  </conditionalFormatting>
  <conditionalFormatting sqref="H6:H1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6:I17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6:J17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279E5E-9A80-4087-89B3-612857164F9A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G6:G17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39BB"/>
    <pageSetUpPr fitToPage="fals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7" min="3" style="1" width="2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5" hidden="false" customHeight="true" outlineLevel="0" collapsed="false">
      <c r="A2" s="2"/>
      <c r="B2" s="84" t="s">
        <v>791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customFormat="false" ht="75" hidden="false" customHeight="true" outlineLevel="0" collapsed="false">
      <c r="A3" s="2"/>
      <c r="B3" s="85" t="s">
        <v>792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true" outlineLevel="0" collapsed="false">
      <c r="A5" s="2"/>
      <c r="B5" s="209" t="s">
        <v>793</v>
      </c>
      <c r="C5" s="209"/>
      <c r="D5" s="209"/>
      <c r="E5" s="209"/>
      <c r="F5" s="209"/>
      <c r="G5" s="209"/>
      <c r="H5" s="2"/>
      <c r="I5" s="2"/>
      <c r="J5" s="2"/>
      <c r="K5" s="2"/>
      <c r="L5" s="2"/>
      <c r="M5" s="2"/>
    </row>
    <row r="6" customFormat="false" ht="60" hidden="false" customHeight="true" outlineLevel="0" collapsed="false">
      <c r="A6" s="2"/>
      <c r="B6" s="86" t="s">
        <v>794</v>
      </c>
      <c r="C6" s="86" t="s">
        <v>795</v>
      </c>
      <c r="D6" s="87" t="s">
        <v>796</v>
      </c>
      <c r="E6" s="91" t="s">
        <v>797</v>
      </c>
      <c r="F6" s="2"/>
      <c r="G6" s="2"/>
      <c r="H6" s="2"/>
      <c r="I6" s="2"/>
      <c r="J6" s="2"/>
      <c r="K6" s="2"/>
      <c r="L6" s="2"/>
      <c r="M6" s="2"/>
    </row>
    <row r="7" customFormat="false" ht="60" hidden="false" customHeight="true" outlineLevel="0" collapsed="false">
      <c r="A7" s="2"/>
      <c r="B7" s="210" t="s">
        <v>799</v>
      </c>
      <c r="C7" s="211" t="s">
        <v>800</v>
      </c>
      <c r="D7" s="211" t="s">
        <v>801</v>
      </c>
      <c r="E7" s="211" t="s">
        <v>802</v>
      </c>
      <c r="F7" s="2"/>
      <c r="G7" s="2"/>
      <c r="H7" s="2"/>
      <c r="I7" s="2"/>
      <c r="J7" s="2"/>
      <c r="K7" s="2"/>
      <c r="L7" s="2"/>
      <c r="M7" s="2"/>
    </row>
    <row r="8" customFormat="false" ht="60" hidden="false" customHeight="true" outlineLevel="0" collapsed="false">
      <c r="A8" s="2"/>
      <c r="B8" s="210" t="s">
        <v>804</v>
      </c>
      <c r="C8" s="212" t="s">
        <v>805</v>
      </c>
      <c r="D8" s="212" t="s">
        <v>806</v>
      </c>
      <c r="E8" s="212" t="s">
        <v>807</v>
      </c>
      <c r="F8" s="2"/>
      <c r="G8" s="2"/>
      <c r="H8" s="2"/>
      <c r="I8" s="2"/>
      <c r="J8" s="2"/>
      <c r="K8" s="2"/>
      <c r="L8" s="2"/>
      <c r="M8" s="2"/>
    </row>
    <row r="9" customFormat="false" ht="60" hidden="false" customHeight="true" outlineLevel="0" collapsed="false">
      <c r="A9" s="2"/>
      <c r="B9" s="210" t="s">
        <v>809</v>
      </c>
      <c r="C9" s="168" t="s">
        <v>810</v>
      </c>
      <c r="D9" s="211" t="s">
        <v>811</v>
      </c>
      <c r="E9" s="211" t="s">
        <v>812</v>
      </c>
      <c r="F9" s="2"/>
      <c r="G9" s="2"/>
      <c r="H9" s="2"/>
      <c r="I9" s="2"/>
      <c r="J9" s="2"/>
      <c r="K9" s="2"/>
      <c r="L9" s="2"/>
      <c r="M9" s="2"/>
    </row>
    <row r="10" customFormat="false" ht="30" hidden="false" customHeight="true" outlineLevel="0" collapsed="false">
      <c r="A10" s="2"/>
      <c r="B10" s="210" t="s">
        <v>814</v>
      </c>
      <c r="C10" s="212" t="s">
        <v>815</v>
      </c>
      <c r="D10" s="212" t="s">
        <v>816</v>
      </c>
      <c r="E10" s="212" t="s">
        <v>816</v>
      </c>
      <c r="F10" s="2"/>
      <c r="G10" s="2"/>
      <c r="H10" s="2"/>
      <c r="I10" s="2"/>
      <c r="J10" s="2"/>
      <c r="K10" s="2"/>
      <c r="L10" s="2"/>
      <c r="M10" s="2"/>
    </row>
    <row r="11" customFormat="false" ht="30" hidden="false" customHeight="true" outlineLevel="0" collapsed="false">
      <c r="A11" s="2"/>
      <c r="B11" s="210" t="s">
        <v>818</v>
      </c>
      <c r="C11" s="211" t="s">
        <v>815</v>
      </c>
      <c r="D11" s="211" t="s">
        <v>816</v>
      </c>
      <c r="E11" s="211" t="s">
        <v>816</v>
      </c>
      <c r="F11" s="2"/>
      <c r="G11" s="2"/>
      <c r="H11" s="2"/>
      <c r="I11" s="2"/>
      <c r="J11" s="2"/>
      <c r="K11" s="2"/>
      <c r="L11" s="2"/>
      <c r="M11" s="2"/>
    </row>
    <row r="12" customFormat="false" ht="60" hidden="false" customHeight="true" outlineLevel="0" collapsed="false">
      <c r="A12" s="2"/>
      <c r="B12" s="210" t="s">
        <v>820</v>
      </c>
      <c r="C12" s="183" t="s">
        <v>821</v>
      </c>
      <c r="D12" s="183" t="s">
        <v>822</v>
      </c>
      <c r="E12" s="183" t="s">
        <v>823</v>
      </c>
      <c r="F12" s="2"/>
      <c r="G12" s="2"/>
      <c r="H12" s="2"/>
      <c r="I12" s="2"/>
      <c r="J12" s="2"/>
      <c r="K12" s="2"/>
      <c r="L12" s="2"/>
      <c r="M12" s="2"/>
    </row>
    <row r="13" customFormat="false" ht="45" hidden="false" customHeight="true" outlineLevel="0" collapsed="false">
      <c r="A13" s="2"/>
      <c r="B13" s="210" t="s">
        <v>825</v>
      </c>
      <c r="C13" s="211" t="s">
        <v>148</v>
      </c>
      <c r="D13" s="211" t="s">
        <v>147</v>
      </c>
      <c r="E13" s="211" t="s">
        <v>826</v>
      </c>
      <c r="F13" s="2"/>
      <c r="G13" s="2"/>
      <c r="H13" s="2"/>
      <c r="I13" s="2"/>
      <c r="J13" s="2"/>
      <c r="K13" s="2"/>
      <c r="L13" s="2"/>
      <c r="M13" s="2"/>
    </row>
    <row r="14" customFormat="false" ht="60" hidden="false" customHeight="true" outlineLevel="0" collapsed="false">
      <c r="A14" s="2"/>
      <c r="B14" s="210" t="s">
        <v>828</v>
      </c>
      <c r="C14" s="212" t="s">
        <v>829</v>
      </c>
      <c r="D14" s="212" t="s">
        <v>830</v>
      </c>
      <c r="E14" s="212" t="s">
        <v>831</v>
      </c>
      <c r="F14" s="2"/>
      <c r="G14" s="2"/>
      <c r="H14" s="2"/>
      <c r="I14" s="2"/>
      <c r="J14" s="2"/>
      <c r="K14" s="2"/>
      <c r="L14" s="2"/>
      <c r="M14" s="2"/>
    </row>
    <row r="15" customFormat="false" ht="90" hidden="false" customHeight="true" outlineLevel="0" collapsed="false">
      <c r="A15" s="2"/>
      <c r="B15" s="210" t="s">
        <v>833</v>
      </c>
      <c r="C15" s="168" t="s">
        <v>834</v>
      </c>
      <c r="D15" s="168" t="s">
        <v>835</v>
      </c>
      <c r="E15" s="211" t="s">
        <v>836</v>
      </c>
      <c r="F15" s="2"/>
      <c r="G15" s="2"/>
      <c r="H15" s="2"/>
      <c r="I15" s="2"/>
      <c r="J15" s="2"/>
      <c r="K15" s="2"/>
      <c r="L15" s="2"/>
      <c r="M15" s="2"/>
    </row>
    <row r="16" customFormat="false" ht="45" hidden="false" customHeight="true" outlineLevel="0" collapsed="false">
      <c r="A16" s="2"/>
      <c r="B16" s="210" t="s">
        <v>838</v>
      </c>
      <c r="C16" s="212" t="s">
        <v>839</v>
      </c>
      <c r="D16" s="212" t="s">
        <v>840</v>
      </c>
      <c r="E16" s="212" t="s">
        <v>841</v>
      </c>
      <c r="F16" s="2"/>
      <c r="G16" s="2"/>
      <c r="H16" s="2"/>
      <c r="I16" s="2"/>
      <c r="J16" s="2"/>
      <c r="K16" s="2"/>
      <c r="L16" s="2"/>
      <c r="M16" s="2"/>
    </row>
    <row r="17" customFormat="false" ht="45" hidden="false" customHeight="true" outlineLevel="0" collapsed="false">
      <c r="A17" s="2"/>
      <c r="B17" s="210" t="s">
        <v>843</v>
      </c>
      <c r="C17" s="211" t="s">
        <v>844</v>
      </c>
      <c r="D17" s="211" t="s">
        <v>845</v>
      </c>
      <c r="E17" s="211" t="s">
        <v>846</v>
      </c>
      <c r="F17" s="2"/>
      <c r="G17" s="2"/>
      <c r="H17" s="2"/>
      <c r="I17" s="2"/>
      <c r="J17" s="2"/>
      <c r="K17" s="2"/>
      <c r="L17" s="2"/>
      <c r="M17" s="2"/>
    </row>
    <row r="18" customFormat="false" ht="45" hidden="false" customHeight="true" outlineLevel="0" collapsed="false">
      <c r="A18" s="2"/>
      <c r="B18" s="210" t="s">
        <v>848</v>
      </c>
      <c r="C18" s="212" t="s">
        <v>849</v>
      </c>
      <c r="D18" s="212" t="s">
        <v>850</v>
      </c>
      <c r="E18" s="212" t="s">
        <v>851</v>
      </c>
      <c r="F18" s="2"/>
      <c r="G18" s="2"/>
      <c r="H18" s="2"/>
      <c r="I18" s="2"/>
      <c r="J18" s="2"/>
      <c r="K18" s="2"/>
      <c r="L18" s="2"/>
      <c r="M18" s="2"/>
    </row>
    <row r="19" customFormat="false" ht="45" hidden="false" customHeight="true" outlineLevel="0" collapsed="false">
      <c r="A19" s="2"/>
      <c r="B19" s="210" t="s">
        <v>853</v>
      </c>
      <c r="C19" s="168" t="s">
        <v>854</v>
      </c>
      <c r="D19" s="168" t="s">
        <v>855</v>
      </c>
      <c r="E19" s="168" t="s">
        <v>856</v>
      </c>
      <c r="F19" s="2"/>
      <c r="G19" s="2"/>
      <c r="H19" s="2"/>
      <c r="I19" s="2"/>
      <c r="J19" s="2"/>
      <c r="K19" s="2"/>
      <c r="L19" s="2"/>
      <c r="M19" s="2"/>
    </row>
    <row r="20" customFormat="false" ht="45" hidden="false" customHeight="true" outlineLevel="0" collapsed="false">
      <c r="A20" s="2"/>
      <c r="B20" s="210" t="s">
        <v>858</v>
      </c>
      <c r="C20" s="212" t="s">
        <v>859</v>
      </c>
      <c r="D20" s="212" t="s">
        <v>860</v>
      </c>
      <c r="E20" s="212" t="s">
        <v>861</v>
      </c>
      <c r="F20" s="2"/>
      <c r="G20" s="2"/>
      <c r="H20" s="2"/>
      <c r="I20" s="2"/>
      <c r="J20" s="2"/>
      <c r="K20" s="2"/>
      <c r="L20" s="2"/>
      <c r="M20" s="2"/>
    </row>
    <row r="21" customFormat="false" ht="30" hidden="false" customHeight="true" outlineLevel="0" collapsed="false">
      <c r="A21" s="2"/>
      <c r="B21" s="210" t="s">
        <v>863</v>
      </c>
      <c r="C21" s="168" t="s">
        <v>864</v>
      </c>
      <c r="D21" s="168" t="s">
        <v>865</v>
      </c>
      <c r="E21" s="168" t="s">
        <v>866</v>
      </c>
      <c r="F21" s="2"/>
      <c r="G21" s="2"/>
      <c r="H21" s="2"/>
      <c r="I21" s="2"/>
      <c r="J21" s="2"/>
      <c r="K21" s="2"/>
      <c r="L21" s="2"/>
      <c r="M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customFormat="false" ht="7.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customFormat="false" ht="60" hidden="false" customHeight="true" outlineLevel="0" collapsed="false">
      <c r="A24" s="2"/>
      <c r="B24" s="213" t="s">
        <v>868</v>
      </c>
      <c r="C24" s="213"/>
      <c r="D24" s="213"/>
      <c r="E24" s="213"/>
      <c r="F24" s="213"/>
      <c r="G24" s="213"/>
      <c r="H24" s="2"/>
      <c r="I24" s="2"/>
      <c r="J24" s="2"/>
      <c r="K24" s="2"/>
      <c r="L24" s="2"/>
      <c r="M24" s="2"/>
    </row>
    <row r="25" customFormat="false" ht="30" hidden="false" customHeight="true" outlineLevel="0" collapsed="false">
      <c r="A25" s="2"/>
      <c r="B25" s="86" t="s">
        <v>869</v>
      </c>
      <c r="C25" s="86" t="s">
        <v>690</v>
      </c>
      <c r="D25" s="87" t="s">
        <v>707</v>
      </c>
      <c r="E25" s="91" t="s">
        <v>726</v>
      </c>
      <c r="F25" s="2"/>
      <c r="G25" s="2"/>
      <c r="H25" s="2"/>
      <c r="I25" s="2"/>
      <c r="J25" s="2"/>
      <c r="K25" s="2"/>
      <c r="L25" s="2"/>
      <c r="M25" s="2"/>
    </row>
    <row r="26" customFormat="false" ht="90" hidden="false" customHeight="true" outlineLevel="0" collapsed="false">
      <c r="A26" s="2"/>
      <c r="B26" s="210" t="s">
        <v>871</v>
      </c>
      <c r="C26" s="168" t="s">
        <v>872</v>
      </c>
      <c r="D26" s="168" t="s">
        <v>873</v>
      </c>
      <c r="E26" s="168" t="s">
        <v>874</v>
      </c>
      <c r="F26" s="2"/>
      <c r="G26" s="2"/>
      <c r="H26" s="2"/>
      <c r="I26" s="2"/>
      <c r="J26" s="2"/>
      <c r="K26" s="2"/>
      <c r="L26" s="2"/>
      <c r="M26" s="2"/>
    </row>
    <row r="27" customFormat="false" ht="90" hidden="false" customHeight="true" outlineLevel="0" collapsed="false">
      <c r="A27" s="2"/>
      <c r="B27" s="210" t="s">
        <v>876</v>
      </c>
      <c r="C27" s="183" t="s">
        <v>877</v>
      </c>
      <c r="D27" s="183" t="s">
        <v>878</v>
      </c>
      <c r="E27" s="183" t="s">
        <v>879</v>
      </c>
      <c r="F27" s="2"/>
      <c r="G27" s="2"/>
      <c r="H27" s="2"/>
      <c r="I27" s="2"/>
      <c r="J27" s="2"/>
      <c r="K27" s="2"/>
      <c r="L27" s="2"/>
      <c r="M27" s="2"/>
    </row>
    <row r="28" customFormat="false" ht="90" hidden="false" customHeight="true" outlineLevel="0" collapsed="false">
      <c r="A28" s="2"/>
      <c r="B28" s="210" t="s">
        <v>881</v>
      </c>
      <c r="C28" s="168" t="s">
        <v>882</v>
      </c>
      <c r="D28" s="168" t="s">
        <v>883</v>
      </c>
      <c r="E28" s="168" t="s">
        <v>884</v>
      </c>
      <c r="F28" s="2"/>
      <c r="G28" s="2"/>
      <c r="H28" s="2"/>
      <c r="I28" s="2"/>
      <c r="J28" s="2"/>
      <c r="K28" s="2"/>
      <c r="L28" s="2"/>
      <c r="M28" s="2"/>
    </row>
    <row r="29" customFormat="false" ht="90" hidden="false" customHeight="true" outlineLevel="0" collapsed="false">
      <c r="A29" s="2"/>
      <c r="B29" s="210" t="s">
        <v>886</v>
      </c>
      <c r="C29" s="183" t="s">
        <v>887</v>
      </c>
      <c r="D29" s="183" t="s">
        <v>888</v>
      </c>
      <c r="E29" s="183" t="s">
        <v>889</v>
      </c>
      <c r="F29" s="2"/>
      <c r="G29" s="2"/>
      <c r="H29" s="2"/>
      <c r="I29" s="2"/>
      <c r="J29" s="2"/>
      <c r="K29" s="2"/>
      <c r="L29" s="2"/>
      <c r="M29" s="2"/>
    </row>
    <row r="30" customFormat="false" ht="105" hidden="false" customHeight="true" outlineLevel="0" collapsed="false">
      <c r="A30" s="2"/>
      <c r="B30" s="210" t="s">
        <v>891</v>
      </c>
      <c r="C30" s="168" t="s">
        <v>892</v>
      </c>
      <c r="D30" s="168" t="s">
        <v>893</v>
      </c>
      <c r="E30" s="168" t="s">
        <v>894</v>
      </c>
      <c r="F30" s="2"/>
      <c r="G30" s="2"/>
      <c r="H30" s="2"/>
      <c r="I30" s="2"/>
      <c r="J30" s="2"/>
      <c r="K30" s="2"/>
      <c r="L30" s="2"/>
      <c r="M30" s="2"/>
    </row>
    <row r="31" customFormat="false" ht="105" hidden="false" customHeight="true" outlineLevel="0" collapsed="false">
      <c r="A31" s="2"/>
      <c r="B31" s="210" t="s">
        <v>896</v>
      </c>
      <c r="C31" s="183" t="s">
        <v>897</v>
      </c>
      <c r="D31" s="183" t="s">
        <v>898</v>
      </c>
      <c r="E31" s="183" t="s">
        <v>899</v>
      </c>
      <c r="F31" s="2"/>
      <c r="G31" s="2"/>
      <c r="H31" s="2"/>
      <c r="I31" s="2"/>
      <c r="J31" s="2"/>
      <c r="K31" s="2"/>
      <c r="L31" s="2"/>
      <c r="M31" s="2"/>
    </row>
    <row r="32" customFormat="false" ht="105" hidden="false" customHeight="true" outlineLevel="0" collapsed="false">
      <c r="A32" s="2"/>
      <c r="B32" s="210" t="s">
        <v>901</v>
      </c>
      <c r="C32" s="168" t="s">
        <v>902</v>
      </c>
      <c r="D32" s="168" t="s">
        <v>903</v>
      </c>
      <c r="E32" s="168" t="s">
        <v>904</v>
      </c>
      <c r="F32" s="2"/>
      <c r="G32" s="2"/>
      <c r="H32" s="2"/>
      <c r="I32" s="2"/>
      <c r="J32" s="2"/>
      <c r="K32" s="2"/>
      <c r="L32" s="2"/>
      <c r="M32" s="2"/>
    </row>
    <row r="33" customFormat="false" ht="105" hidden="false" customHeight="true" outlineLevel="0" collapsed="false">
      <c r="A33" s="2"/>
      <c r="B33" s="210" t="s">
        <v>24</v>
      </c>
      <c r="C33" s="183" t="s">
        <v>906</v>
      </c>
      <c r="D33" s="183" t="s">
        <v>907</v>
      </c>
      <c r="E33" s="183" t="s">
        <v>908</v>
      </c>
      <c r="F33" s="2"/>
      <c r="G33" s="2"/>
      <c r="H33" s="2"/>
      <c r="I33" s="2"/>
      <c r="J33" s="2"/>
      <c r="K33" s="2"/>
      <c r="L33" s="2"/>
      <c r="M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customFormat="false" ht="7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customFormat="false" ht="45" hidden="false" customHeight="true" outlineLevel="0" collapsed="false">
      <c r="A36" s="2"/>
      <c r="B36" s="209" t="s">
        <v>910</v>
      </c>
      <c r="C36" s="209"/>
      <c r="D36" s="209"/>
      <c r="E36" s="209"/>
      <c r="F36" s="209"/>
      <c r="G36" s="209"/>
      <c r="H36" s="2"/>
      <c r="I36" s="2"/>
      <c r="J36" s="2"/>
      <c r="K36" s="2"/>
      <c r="L36" s="2"/>
      <c r="M36" s="2"/>
    </row>
    <row r="37" customFormat="false" ht="60" hidden="false" customHeight="true" outlineLevel="0" collapsed="false">
      <c r="A37" s="2"/>
      <c r="B37" s="173" t="s">
        <v>795</v>
      </c>
      <c r="C37" s="173" t="s">
        <v>764</v>
      </c>
      <c r="D37" s="203" t="s">
        <v>911</v>
      </c>
      <c r="E37" s="206" t="s">
        <v>912</v>
      </c>
      <c r="F37" s="173" t="s">
        <v>913</v>
      </c>
      <c r="G37" s="2"/>
      <c r="H37" s="2"/>
      <c r="I37" s="2"/>
      <c r="J37" s="2"/>
      <c r="K37" s="2"/>
      <c r="L37" s="2"/>
      <c r="M37" s="2"/>
    </row>
    <row r="38" customFormat="false" ht="75" hidden="false" customHeight="true" outlineLevel="0" collapsed="false">
      <c r="A38" s="2"/>
      <c r="B38" s="214" t="s">
        <v>358</v>
      </c>
      <c r="C38" s="215" t="n">
        <v>235</v>
      </c>
      <c r="D38" s="168" t="s">
        <v>915</v>
      </c>
      <c r="E38" s="168" t="s">
        <v>916</v>
      </c>
      <c r="F38" s="168" t="s">
        <v>917</v>
      </c>
      <c r="G38" s="2"/>
      <c r="H38" s="2"/>
      <c r="I38" s="2"/>
      <c r="J38" s="2"/>
      <c r="K38" s="2"/>
      <c r="L38" s="2"/>
      <c r="M38" s="2"/>
    </row>
    <row r="39" customFormat="false" ht="75" hidden="false" customHeight="true" outlineLevel="0" collapsed="false">
      <c r="A39" s="2"/>
      <c r="B39" s="216" t="s">
        <v>359</v>
      </c>
      <c r="C39" s="217" t="n">
        <v>275</v>
      </c>
      <c r="D39" s="183" t="s">
        <v>919</v>
      </c>
      <c r="E39" s="183" t="s">
        <v>920</v>
      </c>
      <c r="F39" s="183" t="s">
        <v>921</v>
      </c>
      <c r="G39" s="2"/>
      <c r="H39" s="2"/>
      <c r="I39" s="2"/>
      <c r="J39" s="2"/>
      <c r="K39" s="2"/>
      <c r="L39" s="2"/>
      <c r="M39" s="2"/>
    </row>
    <row r="40" customFormat="false" ht="60" hidden="false" customHeight="true" outlineLevel="0" collapsed="false">
      <c r="A40" s="2"/>
      <c r="B40" s="214" t="s">
        <v>360</v>
      </c>
      <c r="C40" s="215" t="n">
        <v>355</v>
      </c>
      <c r="D40" s="168" t="s">
        <v>923</v>
      </c>
      <c r="E40" s="168" t="s">
        <v>924</v>
      </c>
      <c r="F40" s="168" t="s">
        <v>925</v>
      </c>
      <c r="G40" s="2"/>
      <c r="H40" s="2"/>
      <c r="I40" s="2"/>
      <c r="J40" s="2"/>
      <c r="K40" s="2"/>
      <c r="L40" s="2"/>
      <c r="M40" s="2"/>
    </row>
    <row r="41" customFormat="false" ht="75" hidden="false" customHeight="true" outlineLevel="0" collapsed="false">
      <c r="A41" s="2"/>
      <c r="B41" s="216" t="s">
        <v>648</v>
      </c>
      <c r="C41" s="217" t="n">
        <v>460</v>
      </c>
      <c r="D41" s="183" t="s">
        <v>927</v>
      </c>
      <c r="E41" s="183" t="s">
        <v>928</v>
      </c>
      <c r="F41" s="183" t="s">
        <v>929</v>
      </c>
      <c r="G41" s="2"/>
      <c r="H41" s="2"/>
      <c r="I41" s="2"/>
      <c r="J41" s="2"/>
      <c r="K41" s="2"/>
      <c r="L41" s="2"/>
      <c r="M41" s="2"/>
    </row>
    <row r="42" customFormat="false" ht="60" hidden="false" customHeight="true" outlineLevel="0" collapsed="false">
      <c r="A42" s="2"/>
      <c r="B42" s="214" t="s">
        <v>653</v>
      </c>
      <c r="C42" s="215" t="n">
        <v>500</v>
      </c>
      <c r="D42" s="168" t="s">
        <v>931</v>
      </c>
      <c r="E42" s="168" t="s">
        <v>932</v>
      </c>
      <c r="F42" s="168" t="s">
        <v>933</v>
      </c>
      <c r="G42" s="2"/>
      <c r="H42" s="2"/>
      <c r="I42" s="2"/>
      <c r="J42" s="2"/>
      <c r="K42" s="2"/>
      <c r="L42" s="2"/>
      <c r="M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20" hidden="false" customHeight="true" outlineLevel="0" collapsed="false">
      <c r="A44" s="2"/>
      <c r="B44" s="83" t="s">
        <v>935</v>
      </c>
      <c r="C44" s="83"/>
      <c r="D44" s="83"/>
      <c r="E44" s="83"/>
      <c r="F44" s="83"/>
      <c r="G44" s="83"/>
      <c r="H44" s="2"/>
      <c r="I44" s="2"/>
      <c r="J44" s="2"/>
      <c r="K44" s="2"/>
      <c r="L44" s="2"/>
      <c r="M44" s="2"/>
    </row>
  </sheetData>
  <mergeCells count="6">
    <mergeCell ref="B2:M2"/>
    <mergeCell ref="B3:M3"/>
    <mergeCell ref="B5:G5"/>
    <mergeCell ref="B24:G24"/>
    <mergeCell ref="B36:G36"/>
    <mergeCell ref="B44:G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5" min="3" style="1" width="22"/>
    <col collapsed="false" customWidth="true" hidden="false" outlineLevel="0" max="7" min="6" style="1" width="14"/>
    <col collapsed="false" customWidth="true" hidden="false" outlineLevel="0" max="9" min="9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5" hidden="false" customHeight="true" outlineLevel="0" collapsed="false">
      <c r="A2" s="2"/>
      <c r="B2" s="218" t="s">
        <v>937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"/>
      <c r="P2" s="2"/>
    </row>
    <row r="3" customFormat="false" ht="120" hidden="false" customHeight="true" outlineLevel="0" collapsed="false">
      <c r="A3" s="2"/>
      <c r="B3" s="219" t="s">
        <v>938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"/>
      <c r="P3" s="2"/>
    </row>
    <row r="4" customFormat="false" ht="90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20" t="s">
        <v>5871</v>
      </c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1" t="s">
        <v>939</v>
      </c>
      <c r="C5" s="221"/>
      <c r="D5" s="221"/>
      <c r="E5" s="221"/>
      <c r="F5" s="221"/>
      <c r="G5" s="221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22" t="s">
        <v>212</v>
      </c>
      <c r="C6" s="223" t="s">
        <v>940</v>
      </c>
      <c r="D6" s="223"/>
      <c r="E6" s="223"/>
      <c r="F6" s="223"/>
      <c r="G6" s="223"/>
      <c r="H6" s="2"/>
      <c r="I6" s="2"/>
      <c r="J6" s="2"/>
      <c r="K6" s="2"/>
      <c r="L6" s="2"/>
      <c r="M6" s="2"/>
      <c r="N6" s="2"/>
      <c r="O6" s="2"/>
      <c r="P6" s="2"/>
    </row>
    <row r="7" customFormat="false" ht="60" hidden="false" customHeight="true" outlineLevel="0" collapsed="false">
      <c r="A7" s="2"/>
      <c r="B7" s="222" t="s">
        <v>942</v>
      </c>
      <c r="C7" s="224" t="s">
        <v>943</v>
      </c>
      <c r="D7" s="224"/>
      <c r="E7" s="224"/>
      <c r="F7" s="224"/>
      <c r="G7" s="224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22" t="s">
        <v>945</v>
      </c>
      <c r="C8" s="223" t="s">
        <v>946</v>
      </c>
      <c r="D8" s="223"/>
      <c r="E8" s="223"/>
      <c r="F8" s="223"/>
      <c r="G8" s="223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22" t="s">
        <v>948</v>
      </c>
      <c r="C9" s="224" t="s">
        <v>949</v>
      </c>
      <c r="D9" s="224"/>
      <c r="E9" s="224"/>
      <c r="F9" s="224"/>
      <c r="G9" s="224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22" t="s">
        <v>213</v>
      </c>
      <c r="C10" s="223" t="s">
        <v>951</v>
      </c>
      <c r="D10" s="223"/>
      <c r="E10" s="223"/>
      <c r="F10" s="223"/>
      <c r="G10" s="223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22" t="s">
        <v>953</v>
      </c>
      <c r="C11" s="224" t="s">
        <v>954</v>
      </c>
      <c r="D11" s="224"/>
      <c r="E11" s="224"/>
      <c r="F11" s="224"/>
      <c r="G11" s="224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45" hidden="false" customHeight="true" outlineLevel="0" collapsed="false">
      <c r="A12" s="2"/>
      <c r="B12" s="222" t="s">
        <v>956</v>
      </c>
      <c r="C12" s="223" t="s">
        <v>957</v>
      </c>
      <c r="D12" s="223"/>
      <c r="E12" s="223"/>
      <c r="F12" s="223"/>
      <c r="G12" s="223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22" t="s">
        <v>959</v>
      </c>
      <c r="C13" s="224" t="s">
        <v>960</v>
      </c>
      <c r="D13" s="224"/>
      <c r="E13" s="224"/>
      <c r="F13" s="224"/>
      <c r="G13" s="224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60" hidden="false" customHeight="true" outlineLevel="0" collapsed="false">
      <c r="A14" s="2"/>
      <c r="B14" s="222" t="s">
        <v>962</v>
      </c>
      <c r="C14" s="223" t="s">
        <v>963</v>
      </c>
      <c r="D14" s="223"/>
      <c r="E14" s="223"/>
      <c r="F14" s="223"/>
      <c r="G14" s="223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75" hidden="false" customHeight="true" outlineLevel="0" collapsed="false">
      <c r="A15" s="2"/>
      <c r="B15" s="222" t="s">
        <v>965</v>
      </c>
      <c r="C15" s="224" t="s">
        <v>966</v>
      </c>
      <c r="D15" s="224"/>
      <c r="E15" s="224"/>
      <c r="F15" s="224"/>
      <c r="G15" s="224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9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45" hidden="false" customHeight="true" outlineLevel="0" collapsed="false">
      <c r="A18" s="2"/>
      <c r="B18" s="221" t="s">
        <v>968</v>
      </c>
      <c r="C18" s="221"/>
      <c r="D18" s="221"/>
      <c r="E18" s="221"/>
      <c r="F18" s="221"/>
      <c r="G18" s="221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25" t="s">
        <v>233</v>
      </c>
      <c r="C19" s="225" t="s">
        <v>969</v>
      </c>
      <c r="D19" s="225" t="s">
        <v>970</v>
      </c>
      <c r="E19" s="225" t="s">
        <v>971</v>
      </c>
      <c r="F19" s="225" t="s">
        <v>972</v>
      </c>
      <c r="G19" s="225" t="s">
        <v>5872</v>
      </c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26" t="s">
        <v>974</v>
      </c>
      <c r="C20" s="227" t="s">
        <v>975</v>
      </c>
      <c r="D20" s="228" t="s">
        <v>976</v>
      </c>
      <c r="E20" s="228" t="s">
        <v>977</v>
      </c>
      <c r="F20" s="228" t="s">
        <v>587</v>
      </c>
      <c r="G20" s="229" t="s">
        <v>5873</v>
      </c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26" t="s">
        <v>979</v>
      </c>
      <c r="C21" s="230" t="s">
        <v>980</v>
      </c>
      <c r="D21" s="231" t="s">
        <v>981</v>
      </c>
      <c r="E21" s="231" t="s">
        <v>977</v>
      </c>
      <c r="F21" s="231" t="s">
        <v>982</v>
      </c>
      <c r="G21" s="232" t="s">
        <v>5873</v>
      </c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26" t="s">
        <v>984</v>
      </c>
      <c r="C22" s="227" t="s">
        <v>984</v>
      </c>
      <c r="D22" s="228" t="s">
        <v>985</v>
      </c>
      <c r="E22" s="228" t="s">
        <v>986</v>
      </c>
      <c r="F22" s="228" t="s">
        <v>987</v>
      </c>
      <c r="G22" s="229" t="s">
        <v>5873</v>
      </c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26" t="s">
        <v>989</v>
      </c>
      <c r="C23" s="230" t="s">
        <v>990</v>
      </c>
      <c r="D23" s="231" t="s">
        <v>991</v>
      </c>
      <c r="E23" s="231" t="s">
        <v>977</v>
      </c>
      <c r="F23" s="231" t="s">
        <v>992</v>
      </c>
      <c r="G23" s="232" t="s">
        <v>5873</v>
      </c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9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45" hidden="false" customHeight="true" outlineLevel="0" collapsed="false">
      <c r="A26" s="2"/>
      <c r="B26" s="221" t="s">
        <v>994</v>
      </c>
      <c r="C26" s="221"/>
      <c r="D26" s="221"/>
      <c r="E26" s="221"/>
      <c r="F26" s="221"/>
      <c r="G26" s="221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60" hidden="false" customHeight="true" outlineLevel="0" collapsed="false">
      <c r="A27" s="2"/>
      <c r="B27" s="222" t="s">
        <v>995</v>
      </c>
      <c r="C27" s="223" t="s">
        <v>996</v>
      </c>
      <c r="D27" s="223"/>
      <c r="E27" s="223"/>
      <c r="F27" s="223"/>
      <c r="G27" s="223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75" hidden="false" customHeight="true" outlineLevel="0" collapsed="false">
      <c r="A28" s="2"/>
      <c r="B28" s="222" t="s">
        <v>998</v>
      </c>
      <c r="C28" s="224" t="s">
        <v>999</v>
      </c>
      <c r="D28" s="224"/>
      <c r="E28" s="224"/>
      <c r="F28" s="224"/>
      <c r="G28" s="224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75" hidden="false" customHeight="true" outlineLevel="0" collapsed="false">
      <c r="A29" s="2"/>
      <c r="B29" s="222" t="s">
        <v>1001</v>
      </c>
      <c r="C29" s="223" t="s">
        <v>1002</v>
      </c>
      <c r="D29" s="223"/>
      <c r="E29" s="223"/>
      <c r="F29" s="223"/>
      <c r="G29" s="223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75" hidden="false" customHeight="true" outlineLevel="0" collapsed="false">
      <c r="A30" s="2"/>
      <c r="B30" s="222" t="s">
        <v>1004</v>
      </c>
      <c r="C30" s="224" t="s">
        <v>1005</v>
      </c>
      <c r="D30" s="224"/>
      <c r="E30" s="224"/>
      <c r="F30" s="224"/>
      <c r="G30" s="224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60" hidden="false" customHeight="true" outlineLevel="0" collapsed="false">
      <c r="A31" s="2"/>
      <c r="B31" s="222" t="s">
        <v>1007</v>
      </c>
      <c r="C31" s="223" t="s">
        <v>1008</v>
      </c>
      <c r="D31" s="223"/>
      <c r="E31" s="223"/>
      <c r="F31" s="223"/>
      <c r="G31" s="223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33" t="s">
        <v>1010</v>
      </c>
      <c r="C32" s="224" t="s">
        <v>1011</v>
      </c>
      <c r="D32" s="224"/>
      <c r="E32" s="224"/>
      <c r="F32" s="224"/>
      <c r="G32" s="224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45" hidden="false" customHeight="true" outlineLevel="0" collapsed="false">
      <c r="A33" s="2"/>
      <c r="B33" s="233" t="s">
        <v>1013</v>
      </c>
      <c r="C33" s="223" t="s">
        <v>1014</v>
      </c>
      <c r="D33" s="223"/>
      <c r="E33" s="223"/>
      <c r="F33" s="223"/>
      <c r="G33" s="223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33" t="s">
        <v>1016</v>
      </c>
      <c r="C34" s="224" t="s">
        <v>1017</v>
      </c>
      <c r="D34" s="224"/>
      <c r="E34" s="224"/>
      <c r="F34" s="224"/>
      <c r="G34" s="224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33" t="s">
        <v>1019</v>
      </c>
      <c r="C35" s="223" t="s">
        <v>1020</v>
      </c>
      <c r="D35" s="223"/>
      <c r="E35" s="223"/>
      <c r="F35" s="223"/>
      <c r="G35" s="223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45" hidden="false" customHeight="true" outlineLevel="0" collapsed="false">
      <c r="A36" s="2"/>
      <c r="B36" s="233" t="s">
        <v>1022</v>
      </c>
      <c r="C36" s="224" t="s">
        <v>1023</v>
      </c>
      <c r="D36" s="224"/>
      <c r="E36" s="224"/>
      <c r="F36" s="224"/>
      <c r="G36" s="224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0" hidden="false" customHeight="true" outlineLevel="0" collapsed="false">
      <c r="A38" s="2"/>
      <c r="B38" s="234" t="s">
        <v>1025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</row>
  </sheetData>
  <mergeCells count="26">
    <mergeCell ref="B2:N2"/>
    <mergeCell ref="B3:N3"/>
    <mergeCell ref="B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B18:G18"/>
    <mergeCell ref="B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B38:P38"/>
  </mergeCells>
  <hyperlinks>
    <hyperlink ref="G20" location="'SS SQ Tube'!A1" display="→ Go to sheet"/>
    <hyperlink ref="G21" location="'SS RHS Tube'!A1" display="→ Go to sheet"/>
    <hyperlink ref="G22" location="'SS Slotted Tube'!A1" display="→ Go to sheet"/>
    <hyperlink ref="G23" location="'SS Round Tube'!A1" display="→ Go to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274"/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35" t="s">
        <v>1026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customFormat="false" ht="60" hidden="false" customHeight="true" outlineLevel="0" collapsed="false">
      <c r="A3" s="2"/>
      <c r="B3" s="85" t="s">
        <v>1027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2" t="s">
        <v>1028</v>
      </c>
      <c r="C5" s="224" t="s">
        <v>1029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"/>
      <c r="P5" s="2"/>
    </row>
    <row r="6" customFormat="false" ht="75" hidden="false" customHeight="true" outlineLevel="0" collapsed="false">
      <c r="A6" s="2"/>
      <c r="B6" s="222" t="s">
        <v>632</v>
      </c>
      <c r="C6" s="224" t="s">
        <v>1031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  <c r="P6" s="2"/>
    </row>
    <row r="7" customFormat="false" ht="90" hidden="false" customHeight="true" outlineLevel="0" collapsed="false">
      <c r="A7" s="2"/>
      <c r="B7" s="222" t="s">
        <v>1033</v>
      </c>
      <c r="C7" s="224" t="s">
        <v>1034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"/>
      <c r="P7" s="2"/>
    </row>
    <row r="8" customFormat="false" ht="120" hidden="false" customHeight="true" outlineLevel="0" collapsed="false">
      <c r="A8" s="2"/>
      <c r="B8" s="222" t="s">
        <v>1036</v>
      </c>
      <c r="C8" s="224" t="s">
        <v>1037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90" hidden="false" customHeight="true" outlineLevel="0" collapsed="false">
      <c r="A10" s="2"/>
      <c r="B10" s="236" t="s">
        <v>1039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customFormat="false" ht="45" hidden="false" customHeight="true" outlineLevel="0" collapsed="false">
      <c r="A11" s="2"/>
      <c r="B11" s="237"/>
      <c r="C11" s="238" t="s">
        <v>1040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"/>
      <c r="P11" s="2"/>
    </row>
    <row r="12" customFormat="false" ht="30" hidden="false" customHeight="true" outlineLevel="0" collapsed="false">
      <c r="A12" s="2"/>
      <c r="B12" s="226" t="s">
        <v>1041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39" t="n">
        <v>3</v>
      </c>
      <c r="L12" s="239" t="n">
        <v>4</v>
      </c>
      <c r="M12" s="239" t="n">
        <v>5</v>
      </c>
      <c r="N12" s="239" t="n">
        <v>6</v>
      </c>
      <c r="O12" s="2"/>
      <c r="P12" s="2"/>
    </row>
    <row r="13" customFormat="false" ht="30" hidden="false" customHeight="true" outlineLevel="0" collapsed="false">
      <c r="A13" s="2"/>
      <c r="B13" s="240" t="s">
        <v>1047</v>
      </c>
      <c r="C13" s="241" t="s">
        <v>1048</v>
      </c>
      <c r="D13" s="241" t="s">
        <v>1048</v>
      </c>
      <c r="E13" s="241" t="s">
        <v>1048</v>
      </c>
      <c r="F13" s="241" t="s">
        <v>1048</v>
      </c>
      <c r="G13" s="241" t="s">
        <v>1048</v>
      </c>
      <c r="H13" s="242"/>
      <c r="I13" s="242"/>
      <c r="J13" s="242"/>
      <c r="K13" s="242"/>
      <c r="L13" s="242"/>
      <c r="M13" s="242"/>
      <c r="N13" s="242"/>
      <c r="O13" s="2"/>
      <c r="P13" s="2"/>
    </row>
    <row r="14" customFormat="false" ht="30" hidden="false" customHeight="true" outlineLevel="0" collapsed="false">
      <c r="A14" s="2"/>
      <c r="B14" s="243" t="s">
        <v>1050</v>
      </c>
      <c r="C14" s="244" t="s">
        <v>1048</v>
      </c>
      <c r="D14" s="244" t="s">
        <v>1048</v>
      </c>
      <c r="E14" s="245"/>
      <c r="F14" s="244" t="s">
        <v>1048</v>
      </c>
      <c r="G14" s="244" t="s">
        <v>1048</v>
      </c>
      <c r="H14" s="245"/>
      <c r="I14" s="245"/>
      <c r="J14" s="245"/>
      <c r="K14" s="245"/>
      <c r="L14" s="245"/>
      <c r="M14" s="245"/>
      <c r="N14" s="245"/>
      <c r="O14" s="2"/>
      <c r="P14" s="2"/>
    </row>
    <row r="15" customFormat="false" ht="30" hidden="false" customHeight="true" outlineLevel="0" collapsed="false">
      <c r="A15" s="2"/>
      <c r="B15" s="240" t="s">
        <v>1052</v>
      </c>
      <c r="C15" s="241" t="s">
        <v>1048</v>
      </c>
      <c r="D15" s="241" t="s">
        <v>1048</v>
      </c>
      <c r="E15" s="241" t="s">
        <v>1048</v>
      </c>
      <c r="F15" s="241" t="s">
        <v>1048</v>
      </c>
      <c r="G15" s="241" t="s">
        <v>1048</v>
      </c>
      <c r="H15" s="241" t="s">
        <v>1048</v>
      </c>
      <c r="I15" s="242"/>
      <c r="J15" s="242"/>
      <c r="K15" s="242"/>
      <c r="L15" s="242"/>
      <c r="M15" s="242"/>
      <c r="N15" s="242"/>
      <c r="O15" s="2"/>
      <c r="P15" s="2"/>
    </row>
    <row r="16" customFormat="false" ht="45" hidden="false" customHeight="true" outlineLevel="0" collapsed="false">
      <c r="A16" s="2"/>
      <c r="B16" s="243" t="s">
        <v>1054</v>
      </c>
      <c r="C16" s="244" t="s">
        <v>1048</v>
      </c>
      <c r="D16" s="244" t="s">
        <v>1048</v>
      </c>
      <c r="E16" s="244" t="s">
        <v>1048</v>
      </c>
      <c r="F16" s="244" t="s">
        <v>1048</v>
      </c>
      <c r="G16" s="244" t="s">
        <v>1048</v>
      </c>
      <c r="H16" s="245"/>
      <c r="I16" s="245"/>
      <c r="J16" s="245"/>
      <c r="K16" s="245"/>
      <c r="L16" s="245"/>
      <c r="M16" s="245"/>
      <c r="N16" s="245"/>
      <c r="O16" s="2"/>
      <c r="P16" s="220" t="s">
        <v>5874</v>
      </c>
    </row>
    <row r="17" customFormat="false" ht="30" hidden="false" customHeight="true" outlineLevel="0" collapsed="false">
      <c r="A17" s="2"/>
      <c r="B17" s="240" t="s">
        <v>1056</v>
      </c>
      <c r="C17" s="241" t="s">
        <v>1048</v>
      </c>
      <c r="D17" s="241" t="s">
        <v>1048</v>
      </c>
      <c r="E17" s="241" t="s">
        <v>1048</v>
      </c>
      <c r="F17" s="241" t="s">
        <v>1048</v>
      </c>
      <c r="G17" s="241" t="s">
        <v>1048</v>
      </c>
      <c r="H17" s="242"/>
      <c r="I17" s="242"/>
      <c r="J17" s="242"/>
      <c r="K17" s="242"/>
      <c r="L17" s="242"/>
      <c r="M17" s="242"/>
      <c r="N17" s="242"/>
      <c r="O17" s="2"/>
      <c r="P17" s="2"/>
    </row>
    <row r="18" customFormat="false" ht="30" hidden="false" customHeight="true" outlineLevel="0" collapsed="false">
      <c r="A18" s="2"/>
      <c r="B18" s="243" t="s">
        <v>1058</v>
      </c>
      <c r="C18" s="245"/>
      <c r="D18" s="245"/>
      <c r="E18" s="245"/>
      <c r="F18" s="244" t="s">
        <v>1048</v>
      </c>
      <c r="G18" s="244" t="s">
        <v>1048</v>
      </c>
      <c r="H18" s="244" t="s">
        <v>1048</v>
      </c>
      <c r="I18" s="244" t="s">
        <v>1048</v>
      </c>
      <c r="J18" s="245"/>
      <c r="K18" s="245"/>
      <c r="L18" s="245"/>
      <c r="M18" s="245"/>
      <c r="N18" s="245"/>
      <c r="O18" s="2"/>
      <c r="P18" s="2"/>
    </row>
    <row r="19" customFormat="false" ht="30" hidden="false" customHeight="true" outlineLevel="0" collapsed="false">
      <c r="A19" s="2"/>
      <c r="B19" s="240" t="s">
        <v>1060</v>
      </c>
      <c r="C19" s="242"/>
      <c r="D19" s="242"/>
      <c r="E19" s="242"/>
      <c r="F19" s="242"/>
      <c r="G19" s="241" t="s">
        <v>1048</v>
      </c>
      <c r="H19" s="241" t="s">
        <v>1048</v>
      </c>
      <c r="I19" s="241" t="s">
        <v>1048</v>
      </c>
      <c r="J19" s="242"/>
      <c r="K19" s="242"/>
      <c r="L19" s="242"/>
      <c r="M19" s="242"/>
      <c r="N19" s="242"/>
      <c r="O19" s="2"/>
      <c r="P19" s="2"/>
    </row>
    <row r="20" customFormat="false" ht="30" hidden="false" customHeight="true" outlineLevel="0" collapsed="false">
      <c r="A20" s="2"/>
      <c r="B20" s="243" t="s">
        <v>1061</v>
      </c>
      <c r="C20" s="245"/>
      <c r="D20" s="245"/>
      <c r="E20" s="244" t="s">
        <v>1048</v>
      </c>
      <c r="F20" s="244" t="s">
        <v>1048</v>
      </c>
      <c r="G20" s="244" t="s">
        <v>1048</v>
      </c>
      <c r="H20" s="244" t="s">
        <v>1048</v>
      </c>
      <c r="I20" s="246" t="s">
        <v>5875</v>
      </c>
      <c r="J20" s="244" t="s">
        <v>1048</v>
      </c>
      <c r="K20" s="245"/>
      <c r="L20" s="245"/>
      <c r="M20" s="245"/>
      <c r="N20" s="245"/>
      <c r="O20" s="2"/>
      <c r="P20" s="2"/>
    </row>
    <row r="21" customFormat="false" ht="30" hidden="false" customHeight="true" outlineLevel="0" collapsed="false">
      <c r="A21" s="2"/>
      <c r="B21" s="240" t="s">
        <v>1063</v>
      </c>
      <c r="C21" s="242"/>
      <c r="D21" s="242"/>
      <c r="E21" s="241" t="s">
        <v>1048</v>
      </c>
      <c r="F21" s="241" t="s">
        <v>1048</v>
      </c>
      <c r="G21" s="241" t="s">
        <v>1048</v>
      </c>
      <c r="H21" s="241" t="s">
        <v>1048</v>
      </c>
      <c r="I21" s="247" t="s">
        <v>5875</v>
      </c>
      <c r="J21" s="241" t="s">
        <v>1048</v>
      </c>
      <c r="K21" s="242"/>
      <c r="L21" s="242"/>
      <c r="M21" s="242"/>
      <c r="N21" s="242"/>
      <c r="O21" s="2"/>
      <c r="P21" s="2"/>
    </row>
    <row r="22" customFormat="false" ht="30" hidden="false" customHeight="true" outlineLevel="0" collapsed="false">
      <c r="A22" s="2"/>
      <c r="B22" s="243" t="s">
        <v>1065</v>
      </c>
      <c r="C22" s="245"/>
      <c r="D22" s="245"/>
      <c r="E22" s="244" t="s">
        <v>1048</v>
      </c>
      <c r="F22" s="244" t="s">
        <v>1048</v>
      </c>
      <c r="G22" s="244" t="s">
        <v>1048</v>
      </c>
      <c r="H22" s="244" t="s">
        <v>1048</v>
      </c>
      <c r="I22" s="246" t="s">
        <v>5875</v>
      </c>
      <c r="J22" s="244" t="s">
        <v>1048</v>
      </c>
      <c r="K22" s="245"/>
      <c r="L22" s="245"/>
      <c r="M22" s="245"/>
      <c r="N22" s="245"/>
      <c r="O22" s="2"/>
      <c r="P22" s="2"/>
    </row>
    <row r="23" customFormat="false" ht="30" hidden="false" customHeight="true" outlineLevel="0" collapsed="false">
      <c r="A23" s="2"/>
      <c r="B23" s="240" t="s">
        <v>1067</v>
      </c>
      <c r="C23" s="242"/>
      <c r="D23" s="242"/>
      <c r="E23" s="241" t="s">
        <v>1048</v>
      </c>
      <c r="F23" s="241" t="s">
        <v>1048</v>
      </c>
      <c r="G23" s="241" t="s">
        <v>1048</v>
      </c>
      <c r="H23" s="241" t="s">
        <v>1048</v>
      </c>
      <c r="I23" s="247" t="s">
        <v>5875</v>
      </c>
      <c r="J23" s="241" t="s">
        <v>1048</v>
      </c>
      <c r="K23" s="242"/>
      <c r="L23" s="242"/>
      <c r="M23" s="242"/>
      <c r="N23" s="242"/>
      <c r="O23" s="2"/>
      <c r="P23" s="2"/>
    </row>
    <row r="24" customFormat="false" ht="30" hidden="false" customHeight="true" outlineLevel="0" collapsed="false">
      <c r="A24" s="2"/>
      <c r="B24" s="243" t="s">
        <v>1069</v>
      </c>
      <c r="C24" s="245"/>
      <c r="D24" s="245"/>
      <c r="E24" s="244" t="s">
        <v>1048</v>
      </c>
      <c r="F24" s="244" t="s">
        <v>1048</v>
      </c>
      <c r="G24" s="244" t="s">
        <v>1048</v>
      </c>
      <c r="H24" s="244" t="s">
        <v>1048</v>
      </c>
      <c r="I24" s="246" t="s">
        <v>5875</v>
      </c>
      <c r="J24" s="244" t="s">
        <v>1048</v>
      </c>
      <c r="K24" s="245"/>
      <c r="L24" s="245"/>
      <c r="M24" s="245"/>
      <c r="N24" s="245"/>
      <c r="O24" s="2"/>
      <c r="P24" s="2"/>
    </row>
    <row r="25" customFormat="false" ht="30" hidden="false" customHeight="true" outlineLevel="0" collapsed="false">
      <c r="A25" s="2"/>
      <c r="B25" s="240" t="s">
        <v>1071</v>
      </c>
      <c r="C25" s="242"/>
      <c r="D25" s="242"/>
      <c r="E25" s="241" t="s">
        <v>1048</v>
      </c>
      <c r="F25" s="241" t="s">
        <v>1048</v>
      </c>
      <c r="G25" s="241" t="s">
        <v>1048</v>
      </c>
      <c r="H25" s="241" t="s">
        <v>1048</v>
      </c>
      <c r="I25" s="247" t="s">
        <v>5875</v>
      </c>
      <c r="J25" s="241" t="s">
        <v>1048</v>
      </c>
      <c r="K25" s="242"/>
      <c r="L25" s="242"/>
      <c r="M25" s="242"/>
      <c r="N25" s="242"/>
      <c r="O25" s="2"/>
      <c r="P25" s="2"/>
    </row>
    <row r="26" customFormat="false" ht="30" hidden="false" customHeight="true" outlineLevel="0" collapsed="false">
      <c r="A26" s="2"/>
      <c r="B26" s="243" t="s">
        <v>1073</v>
      </c>
      <c r="C26" s="245"/>
      <c r="D26" s="245"/>
      <c r="E26" s="244" t="s">
        <v>1048</v>
      </c>
      <c r="F26" s="244" t="s">
        <v>1048</v>
      </c>
      <c r="G26" s="244" t="s">
        <v>1048</v>
      </c>
      <c r="H26" s="244" t="s">
        <v>1048</v>
      </c>
      <c r="I26" s="246" t="s">
        <v>5875</v>
      </c>
      <c r="J26" s="244" t="s">
        <v>1048</v>
      </c>
      <c r="K26" s="246" t="s">
        <v>5875</v>
      </c>
      <c r="L26" s="246" t="s">
        <v>5875</v>
      </c>
      <c r="M26" s="246" t="s">
        <v>5875</v>
      </c>
      <c r="N26" s="245"/>
      <c r="O26" s="2"/>
      <c r="P26" s="2"/>
    </row>
    <row r="27" customFormat="false" ht="30" hidden="false" customHeight="true" outlineLevel="0" collapsed="false">
      <c r="A27" s="2"/>
      <c r="B27" s="240" t="s">
        <v>1075</v>
      </c>
      <c r="C27" s="242"/>
      <c r="D27" s="242"/>
      <c r="E27" s="241" t="s">
        <v>1048</v>
      </c>
      <c r="F27" s="241" t="s">
        <v>1048</v>
      </c>
      <c r="G27" s="241" t="s">
        <v>1048</v>
      </c>
      <c r="H27" s="241" t="s">
        <v>1048</v>
      </c>
      <c r="I27" s="247" t="s">
        <v>5875</v>
      </c>
      <c r="J27" s="241" t="s">
        <v>1048</v>
      </c>
      <c r="K27" s="247" t="s">
        <v>5875</v>
      </c>
      <c r="L27" s="247" t="s">
        <v>5875</v>
      </c>
      <c r="M27" s="247" t="s">
        <v>5875</v>
      </c>
      <c r="N27" s="242"/>
      <c r="O27" s="2"/>
      <c r="P27" s="2"/>
    </row>
    <row r="28" customFormat="false" ht="30" hidden="false" customHeight="true" outlineLevel="0" collapsed="false">
      <c r="A28" s="2"/>
      <c r="B28" s="243" t="s">
        <v>1077</v>
      </c>
      <c r="C28" s="245"/>
      <c r="D28" s="245"/>
      <c r="E28" s="245"/>
      <c r="F28" s="245"/>
      <c r="G28" s="244" t="s">
        <v>1048</v>
      </c>
      <c r="H28" s="244" t="s">
        <v>1048</v>
      </c>
      <c r="I28" s="246" t="s">
        <v>5875</v>
      </c>
      <c r="J28" s="244" t="s">
        <v>1048</v>
      </c>
      <c r="K28" s="246" t="s">
        <v>5875</v>
      </c>
      <c r="L28" s="246" t="s">
        <v>5875</v>
      </c>
      <c r="M28" s="246" t="s">
        <v>5875</v>
      </c>
      <c r="N28" s="245"/>
      <c r="O28" s="2"/>
      <c r="P28" s="2"/>
    </row>
    <row r="29" customFormat="false" ht="30" hidden="false" customHeight="true" outlineLevel="0" collapsed="false">
      <c r="A29" s="2"/>
      <c r="B29" s="240" t="s">
        <v>1078</v>
      </c>
      <c r="C29" s="242"/>
      <c r="D29" s="242"/>
      <c r="E29" s="242"/>
      <c r="F29" s="242"/>
      <c r="G29" s="242"/>
      <c r="H29" s="241" t="s">
        <v>1048</v>
      </c>
      <c r="I29" s="247" t="s">
        <v>5875</v>
      </c>
      <c r="J29" s="241" t="s">
        <v>1048</v>
      </c>
      <c r="K29" s="247" t="s">
        <v>5875</v>
      </c>
      <c r="L29" s="247" t="s">
        <v>5875</v>
      </c>
      <c r="M29" s="247" t="s">
        <v>5875</v>
      </c>
      <c r="N29" s="242"/>
      <c r="O29" s="2"/>
      <c r="P29" s="2"/>
    </row>
    <row r="30" customFormat="false" ht="30" hidden="false" customHeight="true" outlineLevel="0" collapsed="false">
      <c r="A30" s="2"/>
      <c r="B30" s="243" t="s">
        <v>1079</v>
      </c>
      <c r="C30" s="245"/>
      <c r="D30" s="245"/>
      <c r="E30" s="245"/>
      <c r="F30" s="245"/>
      <c r="G30" s="245"/>
      <c r="H30" s="244" t="s">
        <v>1048</v>
      </c>
      <c r="I30" s="246" t="s">
        <v>5875</v>
      </c>
      <c r="J30" s="244" t="s">
        <v>1048</v>
      </c>
      <c r="K30" s="246" t="s">
        <v>5875</v>
      </c>
      <c r="L30" s="246" t="s">
        <v>5875</v>
      </c>
      <c r="M30" s="246" t="s">
        <v>5875</v>
      </c>
      <c r="N30" s="245"/>
      <c r="O30" s="2"/>
      <c r="P30" s="2"/>
    </row>
    <row r="31" customFormat="false" ht="30" hidden="false" customHeight="true" outlineLevel="0" collapsed="false">
      <c r="A31" s="2"/>
      <c r="B31" s="240" t="s">
        <v>1080</v>
      </c>
      <c r="C31" s="242"/>
      <c r="D31" s="242"/>
      <c r="E31" s="242"/>
      <c r="F31" s="242"/>
      <c r="G31" s="242"/>
      <c r="H31" s="242"/>
      <c r="I31" s="241" t="s">
        <v>1048</v>
      </c>
      <c r="J31" s="247" t="s">
        <v>5875</v>
      </c>
      <c r="K31" s="241" t="s">
        <v>1048</v>
      </c>
      <c r="L31" s="247" t="s">
        <v>5875</v>
      </c>
      <c r="M31" s="247" t="s">
        <v>5875</v>
      </c>
      <c r="N31" s="242"/>
      <c r="O31" s="2"/>
      <c r="P31" s="2"/>
    </row>
    <row r="32" customFormat="false" ht="30" hidden="false" customHeight="true" outlineLevel="0" collapsed="false">
      <c r="A32" s="2"/>
      <c r="B32" s="243" t="s">
        <v>1081</v>
      </c>
      <c r="C32" s="245"/>
      <c r="D32" s="245"/>
      <c r="E32" s="245"/>
      <c r="F32" s="245"/>
      <c r="G32" s="245"/>
      <c r="H32" s="245"/>
      <c r="I32" s="244" t="s">
        <v>1048</v>
      </c>
      <c r="J32" s="246" t="s">
        <v>5875</v>
      </c>
      <c r="K32" s="244" t="s">
        <v>1048</v>
      </c>
      <c r="L32" s="246" t="s">
        <v>5875</v>
      </c>
      <c r="M32" s="246" t="s">
        <v>5875</v>
      </c>
      <c r="N32" s="245"/>
      <c r="O32" s="2"/>
      <c r="P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0" hidden="false" customHeight="true" outlineLevel="0" collapsed="false">
      <c r="A34" s="2"/>
      <c r="B34" s="234" t="s">
        <v>1082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</row>
    <row r="35" customFormat="false" ht="105" hidden="false" customHeight="true" outlineLevel="0" collapsed="false">
      <c r="A35" s="2"/>
      <c r="B35" s="234" t="s">
        <v>1025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</row>
  </sheetData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34:P34"/>
    <mergeCell ref="B35:P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P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35" t="s">
        <v>1083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customFormat="false" ht="45" hidden="false" customHeight="true" outlineLevel="0" collapsed="false">
      <c r="A3" s="2"/>
      <c r="B3" s="85" t="s">
        <v>1084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2" t="s">
        <v>1028</v>
      </c>
      <c r="C5" s="224" t="s">
        <v>1029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"/>
      <c r="P5" s="2"/>
    </row>
    <row r="6" customFormat="false" ht="75" hidden="false" customHeight="true" outlineLevel="0" collapsed="false">
      <c r="A6" s="2"/>
      <c r="B6" s="222" t="s">
        <v>632</v>
      </c>
      <c r="C6" s="224" t="s">
        <v>1031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  <c r="P6" s="2"/>
    </row>
    <row r="7" customFormat="false" ht="90" hidden="false" customHeight="true" outlineLevel="0" collapsed="false">
      <c r="A7" s="2"/>
      <c r="B7" s="222" t="s">
        <v>1033</v>
      </c>
      <c r="C7" s="224" t="s">
        <v>1034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"/>
      <c r="P7" s="2"/>
    </row>
    <row r="8" customFormat="false" ht="120" hidden="false" customHeight="true" outlineLevel="0" collapsed="false">
      <c r="A8" s="2"/>
      <c r="B8" s="222" t="s">
        <v>1036</v>
      </c>
      <c r="C8" s="224" t="s">
        <v>1037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75" hidden="false" customHeight="true" outlineLevel="0" collapsed="false">
      <c r="A10" s="2"/>
      <c r="B10" s="236" t="s">
        <v>1085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customFormat="false" ht="45" hidden="false" customHeight="true" outlineLevel="0" collapsed="false">
      <c r="A11" s="2"/>
      <c r="B11" s="237"/>
      <c r="C11" s="238" t="s">
        <v>1040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"/>
      <c r="P11" s="2"/>
    </row>
    <row r="12" customFormat="false" ht="30" hidden="false" customHeight="true" outlineLevel="0" collapsed="false">
      <c r="A12" s="2"/>
      <c r="B12" s="226" t="s">
        <v>1086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39" t="n">
        <v>3</v>
      </c>
      <c r="L12" s="239" t="n">
        <v>4</v>
      </c>
      <c r="M12" s="239" t="n">
        <v>5</v>
      </c>
      <c r="N12" s="239" t="n">
        <v>6</v>
      </c>
      <c r="O12" s="2"/>
      <c r="P12" s="2"/>
    </row>
    <row r="13" customFormat="false" ht="30" hidden="false" customHeight="true" outlineLevel="0" collapsed="false">
      <c r="A13" s="2"/>
      <c r="B13" s="240" t="s">
        <v>1088</v>
      </c>
      <c r="C13" s="242"/>
      <c r="D13" s="242"/>
      <c r="E13" s="242"/>
      <c r="F13" s="242"/>
      <c r="G13" s="247" t="s">
        <v>5875</v>
      </c>
      <c r="H13" s="247" t="s">
        <v>5875</v>
      </c>
      <c r="I13" s="242"/>
      <c r="J13" s="242"/>
      <c r="K13" s="242"/>
      <c r="L13" s="242"/>
      <c r="M13" s="242"/>
      <c r="N13" s="242"/>
      <c r="O13" s="2"/>
      <c r="P13" s="2"/>
    </row>
    <row r="14" customFormat="false" ht="30" hidden="false" customHeight="true" outlineLevel="0" collapsed="false">
      <c r="A14" s="2"/>
      <c r="B14" s="243" t="s">
        <v>1089</v>
      </c>
      <c r="C14" s="245"/>
      <c r="D14" s="245"/>
      <c r="E14" s="245"/>
      <c r="F14" s="245"/>
      <c r="G14" s="246" t="s">
        <v>5875</v>
      </c>
      <c r="H14" s="246" t="s">
        <v>5875</v>
      </c>
      <c r="I14" s="245"/>
      <c r="J14" s="245"/>
      <c r="K14" s="245"/>
      <c r="L14" s="245"/>
      <c r="M14" s="245"/>
      <c r="N14" s="245"/>
      <c r="O14" s="2"/>
      <c r="P14" s="2"/>
    </row>
    <row r="15" customFormat="false" ht="30" hidden="false" customHeight="true" outlineLevel="0" collapsed="false">
      <c r="A15" s="2"/>
      <c r="B15" s="240" t="s">
        <v>1090</v>
      </c>
      <c r="C15" s="241" t="s">
        <v>1048</v>
      </c>
      <c r="D15" s="241" t="s">
        <v>1048</v>
      </c>
      <c r="E15" s="241" t="s">
        <v>1048</v>
      </c>
      <c r="F15" s="241" t="s">
        <v>1048</v>
      </c>
      <c r="G15" s="241" t="s">
        <v>1048</v>
      </c>
      <c r="H15" s="241" t="s">
        <v>1048</v>
      </c>
      <c r="I15" s="242"/>
      <c r="J15" s="242"/>
      <c r="K15" s="242"/>
      <c r="L15" s="242"/>
      <c r="M15" s="242"/>
      <c r="N15" s="242"/>
      <c r="O15" s="2"/>
      <c r="P15" s="2"/>
    </row>
    <row r="16" customFormat="false" ht="30" hidden="false" customHeight="true" outlineLevel="0" collapsed="false">
      <c r="A16" s="2"/>
      <c r="B16" s="243" t="s">
        <v>1092</v>
      </c>
      <c r="C16" s="245"/>
      <c r="D16" s="245"/>
      <c r="E16" s="245"/>
      <c r="F16" s="245"/>
      <c r="G16" s="246" t="s">
        <v>5875</v>
      </c>
      <c r="H16" s="246" t="s">
        <v>5875</v>
      </c>
      <c r="I16" s="246" t="s">
        <v>5875</v>
      </c>
      <c r="J16" s="245"/>
      <c r="K16" s="245"/>
      <c r="L16" s="245"/>
      <c r="M16" s="245"/>
      <c r="N16" s="245"/>
      <c r="O16" s="2"/>
      <c r="P16" s="2"/>
    </row>
    <row r="17" customFormat="false" ht="30" hidden="false" customHeight="true" outlineLevel="0" collapsed="false">
      <c r="A17" s="2"/>
      <c r="B17" s="240" t="s">
        <v>1093</v>
      </c>
      <c r="C17" s="242"/>
      <c r="D17" s="242"/>
      <c r="E17" s="242"/>
      <c r="F17" s="242"/>
      <c r="G17" s="247" t="s">
        <v>5875</v>
      </c>
      <c r="H17" s="247" t="s">
        <v>5875</v>
      </c>
      <c r="I17" s="247" t="s">
        <v>5875</v>
      </c>
      <c r="J17" s="242"/>
      <c r="K17" s="242"/>
      <c r="L17" s="242"/>
      <c r="M17" s="242"/>
      <c r="N17" s="242"/>
      <c r="O17" s="2"/>
      <c r="P17" s="2"/>
    </row>
    <row r="18" customFormat="false" ht="45" hidden="false" customHeight="true" outlineLevel="0" collapsed="false">
      <c r="A18" s="2"/>
      <c r="B18" s="243" t="s">
        <v>1094</v>
      </c>
      <c r="C18" s="245"/>
      <c r="D18" s="245"/>
      <c r="E18" s="245"/>
      <c r="F18" s="245"/>
      <c r="G18" s="246" t="s">
        <v>5875</v>
      </c>
      <c r="H18" s="246" t="s">
        <v>5875</v>
      </c>
      <c r="I18" s="246" t="s">
        <v>5875</v>
      </c>
      <c r="J18" s="245"/>
      <c r="K18" s="245"/>
      <c r="L18" s="245"/>
      <c r="M18" s="245"/>
      <c r="N18" s="245"/>
      <c r="O18" s="2"/>
      <c r="P18" s="220" t="s">
        <v>5876</v>
      </c>
    </row>
    <row r="19" customFormat="false" ht="30" hidden="false" customHeight="true" outlineLevel="0" collapsed="false">
      <c r="A19" s="2"/>
      <c r="B19" s="240" t="s">
        <v>1095</v>
      </c>
      <c r="C19" s="242"/>
      <c r="D19" s="242"/>
      <c r="E19" s="242"/>
      <c r="F19" s="242"/>
      <c r="G19" s="247" t="s">
        <v>5875</v>
      </c>
      <c r="H19" s="247" t="s">
        <v>5875</v>
      </c>
      <c r="I19" s="247" t="s">
        <v>5875</v>
      </c>
      <c r="J19" s="242"/>
      <c r="K19" s="242"/>
      <c r="L19" s="242"/>
      <c r="M19" s="242"/>
      <c r="N19" s="242"/>
      <c r="O19" s="2"/>
      <c r="P19" s="2"/>
    </row>
    <row r="20" customFormat="false" ht="30" hidden="false" customHeight="true" outlineLevel="0" collapsed="false">
      <c r="A20" s="2"/>
      <c r="B20" s="243" t="s">
        <v>1096</v>
      </c>
      <c r="C20" s="245"/>
      <c r="D20" s="245"/>
      <c r="E20" s="245"/>
      <c r="F20" s="245"/>
      <c r="G20" s="246" t="s">
        <v>5875</v>
      </c>
      <c r="H20" s="246" t="s">
        <v>5875</v>
      </c>
      <c r="I20" s="246" t="s">
        <v>5875</v>
      </c>
      <c r="J20" s="245"/>
      <c r="K20" s="245"/>
      <c r="L20" s="245"/>
      <c r="M20" s="245"/>
      <c r="N20" s="245"/>
      <c r="O20" s="2"/>
      <c r="P20" s="2"/>
    </row>
    <row r="21" customFormat="false" ht="30" hidden="false" customHeight="true" outlineLevel="0" collapsed="false">
      <c r="A21" s="2"/>
      <c r="B21" s="240" t="s">
        <v>1097</v>
      </c>
      <c r="C21" s="242"/>
      <c r="D21" s="242"/>
      <c r="E21" s="242"/>
      <c r="F21" s="242"/>
      <c r="G21" s="247" t="s">
        <v>5875</v>
      </c>
      <c r="H21" s="247" t="s">
        <v>5875</v>
      </c>
      <c r="I21" s="247" t="s">
        <v>5875</v>
      </c>
      <c r="J21" s="242"/>
      <c r="K21" s="242"/>
      <c r="L21" s="242"/>
      <c r="M21" s="242"/>
      <c r="N21" s="242"/>
      <c r="O21" s="2"/>
      <c r="P21" s="2"/>
    </row>
    <row r="22" customFormat="false" ht="30" hidden="false" customHeight="true" outlineLevel="0" collapsed="false">
      <c r="A22" s="2"/>
      <c r="B22" s="243" t="s">
        <v>1098</v>
      </c>
      <c r="C22" s="245"/>
      <c r="D22" s="245"/>
      <c r="E22" s="245"/>
      <c r="F22" s="245"/>
      <c r="G22" s="246" t="s">
        <v>5875</v>
      </c>
      <c r="H22" s="246" t="s">
        <v>5875</v>
      </c>
      <c r="I22" s="246" t="s">
        <v>5875</v>
      </c>
      <c r="J22" s="245"/>
      <c r="K22" s="245"/>
      <c r="L22" s="245"/>
      <c r="M22" s="245"/>
      <c r="N22" s="245"/>
      <c r="O22" s="2"/>
      <c r="P22" s="2"/>
    </row>
    <row r="23" customFormat="false" ht="30" hidden="false" customHeight="true" outlineLevel="0" collapsed="false">
      <c r="A23" s="2"/>
      <c r="B23" s="240" t="s">
        <v>1099</v>
      </c>
      <c r="C23" s="242"/>
      <c r="D23" s="242"/>
      <c r="E23" s="242"/>
      <c r="F23" s="242"/>
      <c r="G23" s="247" t="s">
        <v>5875</v>
      </c>
      <c r="H23" s="247" t="s">
        <v>5875</v>
      </c>
      <c r="I23" s="247" t="s">
        <v>5875</v>
      </c>
      <c r="J23" s="242"/>
      <c r="K23" s="242"/>
      <c r="L23" s="242"/>
      <c r="M23" s="242"/>
      <c r="N23" s="242"/>
      <c r="O23" s="2"/>
      <c r="P23" s="2"/>
    </row>
    <row r="24" customFormat="false" ht="30" hidden="false" customHeight="true" outlineLevel="0" collapsed="false">
      <c r="A24" s="2"/>
      <c r="B24" s="243" t="s">
        <v>1100</v>
      </c>
      <c r="C24" s="245"/>
      <c r="D24" s="245"/>
      <c r="E24" s="245"/>
      <c r="F24" s="244" t="s">
        <v>1048</v>
      </c>
      <c r="G24" s="244" t="s">
        <v>1048</v>
      </c>
      <c r="H24" s="245"/>
      <c r="I24" s="245"/>
      <c r="J24" s="245"/>
      <c r="K24" s="245"/>
      <c r="L24" s="245"/>
      <c r="M24" s="245"/>
      <c r="N24" s="245"/>
      <c r="O24" s="2"/>
      <c r="P24" s="2"/>
    </row>
    <row r="25" customFormat="false" ht="30" hidden="false" customHeight="true" outlineLevel="0" collapsed="false">
      <c r="A25" s="2"/>
      <c r="B25" s="240" t="s">
        <v>1102</v>
      </c>
      <c r="C25" s="242"/>
      <c r="D25" s="242"/>
      <c r="E25" s="241" t="s">
        <v>1048</v>
      </c>
      <c r="F25" s="241" t="s">
        <v>1048</v>
      </c>
      <c r="G25" s="241" t="s">
        <v>1048</v>
      </c>
      <c r="H25" s="241" t="s">
        <v>1048</v>
      </c>
      <c r="I25" s="242"/>
      <c r="J25" s="242"/>
      <c r="K25" s="242"/>
      <c r="L25" s="242"/>
      <c r="M25" s="242"/>
      <c r="N25" s="242"/>
      <c r="O25" s="2"/>
      <c r="P25" s="2"/>
    </row>
    <row r="26" customFormat="false" ht="30" hidden="false" customHeight="true" outlineLevel="0" collapsed="false">
      <c r="A26" s="2"/>
      <c r="B26" s="243" t="s">
        <v>1104</v>
      </c>
      <c r="C26" s="245"/>
      <c r="D26" s="245"/>
      <c r="E26" s="245"/>
      <c r="F26" s="244" t="s">
        <v>1048</v>
      </c>
      <c r="G26" s="244" t="s">
        <v>1048</v>
      </c>
      <c r="H26" s="244" t="s">
        <v>1048</v>
      </c>
      <c r="I26" s="245"/>
      <c r="J26" s="245"/>
      <c r="K26" s="245"/>
      <c r="L26" s="245"/>
      <c r="M26" s="245"/>
      <c r="N26" s="245"/>
      <c r="O26" s="2"/>
      <c r="P26" s="2"/>
    </row>
    <row r="27" customFormat="false" ht="30" hidden="false" customHeight="true" outlineLevel="0" collapsed="false">
      <c r="A27" s="2"/>
      <c r="B27" s="240" t="s">
        <v>1106</v>
      </c>
      <c r="C27" s="242"/>
      <c r="D27" s="242"/>
      <c r="E27" s="242"/>
      <c r="F27" s="242"/>
      <c r="G27" s="247" t="s">
        <v>5875</v>
      </c>
      <c r="H27" s="247" t="s">
        <v>5875</v>
      </c>
      <c r="I27" s="247" t="s">
        <v>5875</v>
      </c>
      <c r="J27" s="247" t="s">
        <v>5875</v>
      </c>
      <c r="K27" s="242"/>
      <c r="L27" s="242"/>
      <c r="M27" s="242"/>
      <c r="N27" s="242"/>
      <c r="O27" s="2"/>
      <c r="P27" s="2"/>
    </row>
    <row r="28" customFormat="false" ht="30" hidden="false" customHeight="true" outlineLevel="0" collapsed="false">
      <c r="A28" s="2"/>
      <c r="B28" s="243" t="s">
        <v>1107</v>
      </c>
      <c r="C28" s="245"/>
      <c r="D28" s="245"/>
      <c r="E28" s="245"/>
      <c r="F28" s="244" t="s">
        <v>1048</v>
      </c>
      <c r="G28" s="244" t="s">
        <v>1048</v>
      </c>
      <c r="H28" s="244" t="s">
        <v>1048</v>
      </c>
      <c r="I28" s="244" t="s">
        <v>1048</v>
      </c>
      <c r="J28" s="246" t="s">
        <v>5875</v>
      </c>
      <c r="K28" s="244" t="s">
        <v>1048</v>
      </c>
      <c r="L28" s="245"/>
      <c r="M28" s="245"/>
      <c r="N28" s="245"/>
      <c r="O28" s="2"/>
      <c r="P28" s="2"/>
    </row>
    <row r="29" customFormat="false" ht="30" hidden="false" customHeight="true" outlineLevel="0" collapsed="false">
      <c r="A29" s="2"/>
      <c r="B29" s="240" t="s">
        <v>1109</v>
      </c>
      <c r="C29" s="242"/>
      <c r="D29" s="242"/>
      <c r="E29" s="242"/>
      <c r="F29" s="241" t="s">
        <v>1048</v>
      </c>
      <c r="G29" s="241" t="s">
        <v>1048</v>
      </c>
      <c r="H29" s="241" t="s">
        <v>1048</v>
      </c>
      <c r="I29" s="241" t="s">
        <v>1048</v>
      </c>
      <c r="J29" s="247" t="s">
        <v>5875</v>
      </c>
      <c r="K29" s="241" t="s">
        <v>1048</v>
      </c>
      <c r="L29" s="242"/>
      <c r="M29" s="242"/>
      <c r="N29" s="242"/>
      <c r="O29" s="2"/>
      <c r="P29" s="2"/>
    </row>
    <row r="30" customFormat="false" ht="30" hidden="false" customHeight="true" outlineLevel="0" collapsed="false">
      <c r="A30" s="2"/>
      <c r="B30" s="243" t="s">
        <v>1111</v>
      </c>
      <c r="C30" s="245"/>
      <c r="D30" s="245"/>
      <c r="E30" s="245"/>
      <c r="F30" s="244" t="s">
        <v>1048</v>
      </c>
      <c r="G30" s="244" t="s">
        <v>1048</v>
      </c>
      <c r="H30" s="244" t="s">
        <v>1048</v>
      </c>
      <c r="I30" s="244" t="s">
        <v>1048</v>
      </c>
      <c r="J30" s="246" t="s">
        <v>5875</v>
      </c>
      <c r="K30" s="244" t="s">
        <v>1048</v>
      </c>
      <c r="L30" s="245"/>
      <c r="M30" s="245"/>
      <c r="N30" s="245"/>
      <c r="O30" s="2"/>
      <c r="P30" s="2"/>
    </row>
    <row r="31" customFormat="false" ht="30" hidden="false" customHeight="true" outlineLevel="0" collapsed="false">
      <c r="A31" s="2"/>
      <c r="B31" s="240" t="s">
        <v>1113</v>
      </c>
      <c r="C31" s="242"/>
      <c r="D31" s="242"/>
      <c r="E31" s="241" t="s">
        <v>1048</v>
      </c>
      <c r="F31" s="241" t="s">
        <v>1048</v>
      </c>
      <c r="G31" s="241" t="s">
        <v>1048</v>
      </c>
      <c r="H31" s="241" t="s">
        <v>1048</v>
      </c>
      <c r="I31" s="241" t="s">
        <v>1048</v>
      </c>
      <c r="J31" s="247" t="s">
        <v>5875</v>
      </c>
      <c r="K31" s="241" t="s">
        <v>1048</v>
      </c>
      <c r="L31" s="242"/>
      <c r="M31" s="242"/>
      <c r="N31" s="242"/>
      <c r="O31" s="2"/>
      <c r="P31" s="2"/>
    </row>
    <row r="32" customFormat="false" ht="30" hidden="false" customHeight="true" outlineLevel="0" collapsed="false">
      <c r="A32" s="2"/>
      <c r="B32" s="243" t="s">
        <v>1115</v>
      </c>
      <c r="C32" s="245"/>
      <c r="D32" s="245"/>
      <c r="E32" s="245"/>
      <c r="F32" s="244" t="s">
        <v>1048</v>
      </c>
      <c r="G32" s="244" t="s">
        <v>1048</v>
      </c>
      <c r="H32" s="244" t="s">
        <v>1048</v>
      </c>
      <c r="I32" s="244" t="s">
        <v>1048</v>
      </c>
      <c r="J32" s="246" t="s">
        <v>5875</v>
      </c>
      <c r="K32" s="246" t="s">
        <v>5875</v>
      </c>
      <c r="L32" s="245"/>
      <c r="M32" s="245"/>
      <c r="N32" s="245"/>
      <c r="O32" s="2"/>
      <c r="P32" s="2"/>
    </row>
    <row r="33" customFormat="false" ht="30" hidden="false" customHeight="true" outlineLevel="0" collapsed="false">
      <c r="A33" s="2"/>
      <c r="B33" s="240" t="s">
        <v>1117</v>
      </c>
      <c r="C33" s="242"/>
      <c r="D33" s="242"/>
      <c r="E33" s="242"/>
      <c r="F33" s="242"/>
      <c r="G33" s="247" t="s">
        <v>5875</v>
      </c>
      <c r="H33" s="247" t="s">
        <v>5875</v>
      </c>
      <c r="I33" s="247" t="s">
        <v>5875</v>
      </c>
      <c r="J33" s="247" t="s">
        <v>5875</v>
      </c>
      <c r="K33" s="242"/>
      <c r="L33" s="242"/>
      <c r="M33" s="242"/>
      <c r="N33" s="242"/>
      <c r="O33" s="2"/>
      <c r="P33" s="2"/>
    </row>
    <row r="34" customFormat="false" ht="30" hidden="false" customHeight="true" outlineLevel="0" collapsed="false">
      <c r="A34" s="2"/>
      <c r="B34" s="243" t="s">
        <v>1118</v>
      </c>
      <c r="C34" s="245"/>
      <c r="D34" s="245"/>
      <c r="E34" s="245"/>
      <c r="F34" s="244" t="s">
        <v>1048</v>
      </c>
      <c r="G34" s="244" t="s">
        <v>1048</v>
      </c>
      <c r="H34" s="244" t="s">
        <v>1048</v>
      </c>
      <c r="I34" s="244" t="s">
        <v>1048</v>
      </c>
      <c r="J34" s="246" t="s">
        <v>5875</v>
      </c>
      <c r="K34" s="244" t="s">
        <v>1048</v>
      </c>
      <c r="L34" s="245"/>
      <c r="M34" s="245"/>
      <c r="N34" s="245"/>
      <c r="O34" s="2"/>
      <c r="P34" s="2"/>
    </row>
    <row r="35" customFormat="false" ht="30" hidden="false" customHeight="true" outlineLevel="0" collapsed="false">
      <c r="A35" s="2"/>
      <c r="B35" s="240" t="s">
        <v>1120</v>
      </c>
      <c r="C35" s="242"/>
      <c r="D35" s="242"/>
      <c r="E35" s="242"/>
      <c r="F35" s="242"/>
      <c r="G35" s="247" t="s">
        <v>5875</v>
      </c>
      <c r="H35" s="247" t="s">
        <v>5875</v>
      </c>
      <c r="I35" s="247" t="s">
        <v>5875</v>
      </c>
      <c r="J35" s="247" t="s">
        <v>5875</v>
      </c>
      <c r="K35" s="247" t="s">
        <v>5875</v>
      </c>
      <c r="L35" s="247" t="s">
        <v>5875</v>
      </c>
      <c r="M35" s="247" t="s">
        <v>5875</v>
      </c>
      <c r="N35" s="247" t="s">
        <v>5875</v>
      </c>
      <c r="O35" s="2"/>
      <c r="P35" s="2"/>
    </row>
    <row r="36" customFormat="false" ht="30" hidden="false" customHeight="true" outlineLevel="0" collapsed="false">
      <c r="A36" s="2"/>
      <c r="B36" s="243" t="s">
        <v>1121</v>
      </c>
      <c r="C36" s="245"/>
      <c r="D36" s="245"/>
      <c r="E36" s="245"/>
      <c r="F36" s="244" t="s">
        <v>1048</v>
      </c>
      <c r="G36" s="244" t="s">
        <v>1048</v>
      </c>
      <c r="H36" s="244" t="s">
        <v>1048</v>
      </c>
      <c r="I36" s="246" t="s">
        <v>5875</v>
      </c>
      <c r="J36" s="244" t="s">
        <v>1048</v>
      </c>
      <c r="K36" s="246" t="s">
        <v>5875</v>
      </c>
      <c r="L36" s="246" t="s">
        <v>5875</v>
      </c>
      <c r="M36" s="246" t="s">
        <v>5875</v>
      </c>
      <c r="N36" s="245"/>
      <c r="O36" s="2"/>
      <c r="P36" s="2"/>
    </row>
    <row r="37" customFormat="false" ht="30" hidden="false" customHeight="true" outlineLevel="0" collapsed="false">
      <c r="A37" s="2"/>
      <c r="B37" s="240" t="s">
        <v>1123</v>
      </c>
      <c r="C37" s="242"/>
      <c r="D37" s="242"/>
      <c r="E37" s="242"/>
      <c r="F37" s="241" t="s">
        <v>1048</v>
      </c>
      <c r="G37" s="241" t="s">
        <v>1048</v>
      </c>
      <c r="H37" s="241" t="s">
        <v>1048</v>
      </c>
      <c r="I37" s="247" t="s">
        <v>5875</v>
      </c>
      <c r="J37" s="241" t="s">
        <v>1048</v>
      </c>
      <c r="K37" s="247" t="s">
        <v>5875</v>
      </c>
      <c r="L37" s="247" t="s">
        <v>5875</v>
      </c>
      <c r="M37" s="247" t="s">
        <v>5875</v>
      </c>
      <c r="N37" s="242"/>
      <c r="O37" s="2"/>
      <c r="P37" s="2"/>
    </row>
    <row r="38" customFormat="false" ht="30" hidden="false" customHeight="true" outlineLevel="0" collapsed="false">
      <c r="A38" s="2"/>
      <c r="B38" s="243" t="s">
        <v>1125</v>
      </c>
      <c r="C38" s="245"/>
      <c r="D38" s="245"/>
      <c r="E38" s="245"/>
      <c r="F38" s="245"/>
      <c r="G38" s="244" t="s">
        <v>1048</v>
      </c>
      <c r="H38" s="244" t="s">
        <v>1048</v>
      </c>
      <c r="I38" s="246" t="s">
        <v>5875</v>
      </c>
      <c r="J38" s="244" t="s">
        <v>1048</v>
      </c>
      <c r="K38" s="246" t="s">
        <v>5875</v>
      </c>
      <c r="L38" s="246" t="s">
        <v>5875</v>
      </c>
      <c r="M38" s="246" t="s">
        <v>5875</v>
      </c>
      <c r="N38" s="245"/>
      <c r="O38" s="2"/>
      <c r="P38" s="2"/>
    </row>
    <row r="39" customFormat="false" ht="30" hidden="false" customHeight="true" outlineLevel="0" collapsed="false">
      <c r="A39" s="2"/>
      <c r="B39" s="240" t="s">
        <v>1126</v>
      </c>
      <c r="C39" s="242"/>
      <c r="D39" s="242"/>
      <c r="E39" s="242"/>
      <c r="F39" s="242"/>
      <c r="G39" s="241" t="s">
        <v>1048</v>
      </c>
      <c r="H39" s="242"/>
      <c r="I39" s="247" t="s">
        <v>5875</v>
      </c>
      <c r="J39" s="241" t="s">
        <v>1048</v>
      </c>
      <c r="K39" s="247" t="s">
        <v>5875</v>
      </c>
      <c r="L39" s="247" t="s">
        <v>5875</v>
      </c>
      <c r="M39" s="247" t="s">
        <v>5875</v>
      </c>
      <c r="N39" s="242"/>
      <c r="O39" s="2"/>
      <c r="P39" s="2"/>
    </row>
    <row r="40" customFormat="false" ht="30" hidden="false" customHeight="true" outlineLevel="0" collapsed="false">
      <c r="A40" s="2"/>
      <c r="B40" s="243" t="s">
        <v>1127</v>
      </c>
      <c r="C40" s="245"/>
      <c r="D40" s="245"/>
      <c r="E40" s="245"/>
      <c r="F40" s="245"/>
      <c r="G40" s="246" t="s">
        <v>5875</v>
      </c>
      <c r="H40" s="246" t="s">
        <v>5875</v>
      </c>
      <c r="I40" s="246" t="s">
        <v>5875</v>
      </c>
      <c r="J40" s="246" t="s">
        <v>5875</v>
      </c>
      <c r="K40" s="246" t="s">
        <v>5875</v>
      </c>
      <c r="L40" s="246" t="s">
        <v>5875</v>
      </c>
      <c r="M40" s="246" t="s">
        <v>5875</v>
      </c>
      <c r="N40" s="245"/>
      <c r="O40" s="2"/>
      <c r="P40" s="2"/>
    </row>
    <row r="41" customFormat="false" ht="30" hidden="false" customHeight="true" outlineLevel="0" collapsed="false">
      <c r="A41" s="2"/>
      <c r="B41" s="240" t="s">
        <v>1128</v>
      </c>
      <c r="C41" s="242"/>
      <c r="D41" s="242"/>
      <c r="E41" s="242"/>
      <c r="F41" s="242"/>
      <c r="G41" s="242"/>
      <c r="H41" s="242"/>
      <c r="I41" s="247" t="s">
        <v>5875</v>
      </c>
      <c r="J41" s="247" t="s">
        <v>5875</v>
      </c>
      <c r="K41" s="247" t="s">
        <v>5875</v>
      </c>
      <c r="L41" s="247" t="s">
        <v>5875</v>
      </c>
      <c r="M41" s="247" t="s">
        <v>5875</v>
      </c>
      <c r="N41" s="247" t="s">
        <v>5875</v>
      </c>
      <c r="O41" s="2"/>
      <c r="P41" s="2"/>
    </row>
    <row r="42" customFormat="false" ht="30" hidden="false" customHeight="true" outlineLevel="0" collapsed="false">
      <c r="A42" s="2"/>
      <c r="B42" s="243" t="s">
        <v>1129</v>
      </c>
      <c r="C42" s="245"/>
      <c r="D42" s="245"/>
      <c r="E42" s="245"/>
      <c r="F42" s="245"/>
      <c r="G42" s="245"/>
      <c r="H42" s="245"/>
      <c r="I42" s="246" t="s">
        <v>5875</v>
      </c>
      <c r="J42" s="246" t="s">
        <v>5875</v>
      </c>
      <c r="K42" s="246" t="s">
        <v>5875</v>
      </c>
      <c r="L42" s="246" t="s">
        <v>5875</v>
      </c>
      <c r="M42" s="246" t="s">
        <v>5875</v>
      </c>
      <c r="N42" s="246" t="s">
        <v>5875</v>
      </c>
      <c r="O42" s="2"/>
      <c r="P42" s="2"/>
    </row>
    <row r="43" customFormat="false" ht="30" hidden="false" customHeight="true" outlineLevel="0" collapsed="false">
      <c r="A43" s="2"/>
      <c r="B43" s="240" t="s">
        <v>1130</v>
      </c>
      <c r="C43" s="242"/>
      <c r="D43" s="242"/>
      <c r="E43" s="242"/>
      <c r="F43" s="242"/>
      <c r="G43" s="242"/>
      <c r="H43" s="242"/>
      <c r="I43" s="247" t="s">
        <v>5875</v>
      </c>
      <c r="J43" s="247" t="s">
        <v>5875</v>
      </c>
      <c r="K43" s="247" t="s">
        <v>5875</v>
      </c>
      <c r="L43" s="247" t="s">
        <v>5875</v>
      </c>
      <c r="M43" s="247" t="s">
        <v>5875</v>
      </c>
      <c r="N43" s="247" t="s">
        <v>5875</v>
      </c>
      <c r="O43" s="2"/>
      <c r="P43" s="2"/>
    </row>
    <row r="44" customFormat="false" ht="30" hidden="false" customHeight="true" outlineLevel="0" collapsed="false">
      <c r="A44" s="2"/>
      <c r="B44" s="243" t="s">
        <v>1131</v>
      </c>
      <c r="C44" s="245"/>
      <c r="D44" s="245"/>
      <c r="E44" s="245"/>
      <c r="F44" s="245"/>
      <c r="G44" s="245"/>
      <c r="H44" s="245"/>
      <c r="I44" s="246" t="s">
        <v>5875</v>
      </c>
      <c r="J44" s="246" t="s">
        <v>5875</v>
      </c>
      <c r="K44" s="246" t="s">
        <v>5875</v>
      </c>
      <c r="L44" s="246" t="s">
        <v>5875</v>
      </c>
      <c r="M44" s="246" t="s">
        <v>5875</v>
      </c>
      <c r="N44" s="246" t="s">
        <v>5875</v>
      </c>
      <c r="O44" s="2"/>
      <c r="P44" s="2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90" hidden="false" customHeight="true" outlineLevel="0" collapsed="false">
      <c r="A46" s="2"/>
      <c r="B46" s="234" t="s">
        <v>1082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</row>
    <row r="47" customFormat="false" ht="90" hidden="false" customHeight="true" outlineLevel="0" collapsed="false">
      <c r="A47" s="2"/>
      <c r="B47" s="234" t="s">
        <v>1025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</row>
  </sheetData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46:P46"/>
    <mergeCell ref="B47:P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7A8C"/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10" min="3" style="1" width="7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7.75" hidden="false" customHeight="true" outlineLevel="0" collapsed="false">
      <c r="A2" s="2"/>
      <c r="B2" s="235" t="s">
        <v>1132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customFormat="false" ht="30" hidden="false" customHeight="true" outlineLevel="0" collapsed="false">
      <c r="A3" s="2"/>
      <c r="B3" s="85" t="s">
        <v>1133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222" t="s">
        <v>1028</v>
      </c>
      <c r="C5" s="224" t="s">
        <v>1029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</row>
    <row r="6" customFormat="false" ht="75" hidden="false" customHeight="true" outlineLevel="0" collapsed="false">
      <c r="A6" s="2"/>
      <c r="B6" s="222" t="s">
        <v>632</v>
      </c>
      <c r="C6" s="224" t="s">
        <v>1031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customFormat="false" ht="90" hidden="false" customHeight="true" outlineLevel="0" collapsed="false">
      <c r="A7" s="2"/>
      <c r="B7" s="222" t="s">
        <v>1033</v>
      </c>
      <c r="C7" s="224" t="s">
        <v>1034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customFormat="false" ht="105" hidden="false" customHeight="true" outlineLevel="0" collapsed="false">
      <c r="A8" s="2"/>
      <c r="B8" s="222" t="s">
        <v>1036</v>
      </c>
      <c r="C8" s="224" t="s">
        <v>1037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0" hidden="false" customHeight="true" outlineLevel="0" collapsed="false">
      <c r="A10" s="2"/>
      <c r="B10" s="248" t="s">
        <v>1134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</row>
    <row r="11" customFormat="false" ht="45" hidden="false" customHeight="true" outlineLevel="0" collapsed="false">
      <c r="A11" s="2"/>
      <c r="B11" s="237"/>
      <c r="C11" s="238" t="s">
        <v>1040</v>
      </c>
      <c r="D11" s="238"/>
      <c r="E11" s="238"/>
      <c r="F11" s="238"/>
      <c r="G11" s="238"/>
      <c r="H11" s="238"/>
      <c r="I11" s="238"/>
      <c r="J11" s="238"/>
      <c r="K11" s="2"/>
      <c r="L11" s="2"/>
      <c r="M11" s="2"/>
      <c r="N11" s="2"/>
    </row>
    <row r="12" customFormat="false" ht="30" hidden="false" customHeight="true" outlineLevel="0" collapsed="false">
      <c r="A12" s="2"/>
      <c r="B12" s="226" t="s">
        <v>1135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"/>
      <c r="L12" s="2"/>
      <c r="M12" s="2"/>
      <c r="N12" s="2"/>
    </row>
    <row r="13" customFormat="false" ht="30" hidden="false" customHeight="true" outlineLevel="0" collapsed="false">
      <c r="A13" s="2"/>
      <c r="B13" s="240" t="s">
        <v>1137</v>
      </c>
      <c r="C13" s="242"/>
      <c r="D13" s="242"/>
      <c r="E13" s="242"/>
      <c r="F13" s="242"/>
      <c r="G13" s="241" t="s">
        <v>1048</v>
      </c>
      <c r="H13" s="241" t="s">
        <v>1048</v>
      </c>
      <c r="I13" s="242"/>
      <c r="J13" s="242"/>
      <c r="K13" s="2"/>
      <c r="L13" s="2"/>
      <c r="M13" s="2"/>
      <c r="N13" s="2"/>
    </row>
    <row r="14" customFormat="false" ht="30" hidden="false" customHeight="true" outlineLevel="0" collapsed="false">
      <c r="A14" s="2"/>
      <c r="B14" s="243" t="s">
        <v>1138</v>
      </c>
      <c r="C14" s="245"/>
      <c r="D14" s="245"/>
      <c r="E14" s="245"/>
      <c r="F14" s="245"/>
      <c r="G14" s="244" t="s">
        <v>1048</v>
      </c>
      <c r="H14" s="244" t="s">
        <v>1048</v>
      </c>
      <c r="I14" s="245"/>
      <c r="J14" s="245"/>
      <c r="K14" s="2"/>
      <c r="L14" s="2"/>
      <c r="M14" s="2"/>
      <c r="N14" s="2"/>
    </row>
    <row r="15" customFormat="false" ht="30" hidden="false" customHeight="true" outlineLevel="0" collapsed="false">
      <c r="A15" s="2"/>
      <c r="B15" s="240" t="s">
        <v>1139</v>
      </c>
      <c r="C15" s="242"/>
      <c r="D15" s="242"/>
      <c r="E15" s="242"/>
      <c r="F15" s="242"/>
      <c r="G15" s="241" t="s">
        <v>1048</v>
      </c>
      <c r="H15" s="241" t="s">
        <v>1048</v>
      </c>
      <c r="I15" s="242"/>
      <c r="J15" s="242"/>
      <c r="K15" s="2"/>
      <c r="L15" s="2"/>
      <c r="M15" s="2"/>
      <c r="N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Format="false" ht="60" hidden="false" customHeight="true" outlineLevel="0" collapsed="false">
      <c r="A17" s="2"/>
      <c r="B17" s="234" t="s">
        <v>1082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"/>
      <c r="N17" s="2"/>
    </row>
    <row r="18" customFormat="false" ht="60" hidden="false" customHeight="true" outlineLevel="0" collapsed="false">
      <c r="A18" s="2"/>
      <c r="B18" s="234" t="s">
        <v>1025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"/>
      <c r="N18" s="2"/>
    </row>
  </sheetData>
  <mergeCells count="10">
    <mergeCell ref="B2:N2"/>
    <mergeCell ref="B3:N3"/>
    <mergeCell ref="C5:N5"/>
    <mergeCell ref="C6:N6"/>
    <mergeCell ref="C7:N7"/>
    <mergeCell ref="C8:N8"/>
    <mergeCell ref="B10:N10"/>
    <mergeCell ref="C11:J11"/>
    <mergeCell ref="B17:L17"/>
    <mergeCell ref="B18:L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22"/>
    <col collapsed="false" customWidth="true" hidden="false" outlineLevel="0" max="4" min="4" style="1" width="16"/>
    <col collapsed="false" customWidth="true" hidden="false" outlineLevel="0" max="5" min="5" style="1" width="6"/>
    <col collapsed="false" customWidth="true" hidden="false" outlineLevel="0" max="11" min="6" style="1" width="2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7.75" hidden="false" customHeight="true" outlineLevel="0" collapsed="false">
      <c r="A2" s="2"/>
      <c r="B2" s="3" t="s">
        <v>35</v>
      </c>
      <c r="C2" s="3"/>
      <c r="D2" s="3"/>
      <c r="E2" s="3"/>
      <c r="F2" s="3"/>
      <c r="G2" s="3"/>
      <c r="H2" s="3"/>
      <c r="I2" s="3"/>
      <c r="J2" s="3"/>
      <c r="K2" s="3"/>
    </row>
    <row r="3" customFormat="false" ht="19.5" hidden="false" customHeight="true" outlineLevel="0" collapsed="false">
      <c r="A3" s="2"/>
      <c r="B3" s="19" t="s">
        <v>36</v>
      </c>
      <c r="C3" s="19"/>
      <c r="D3" s="19"/>
      <c r="E3" s="19"/>
      <c r="F3" s="19"/>
      <c r="G3" s="19"/>
      <c r="H3" s="19"/>
      <c r="I3" s="19"/>
      <c r="J3" s="19"/>
    </row>
    <row r="4" customFormat="false" ht="19.5" hidden="false" customHeight="true" outlineLevel="0" collapsed="false">
      <c r="A4" s="2"/>
      <c r="B4" s="10" t="s">
        <v>37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25.5" hidden="false" customHeight="true" outlineLevel="0" collapsed="false">
      <c r="A5" s="2"/>
      <c r="B5" s="20" t="s">
        <v>38</v>
      </c>
      <c r="C5" s="20" t="s">
        <v>39</v>
      </c>
      <c r="D5" s="20" t="s">
        <v>40</v>
      </c>
      <c r="E5" s="20" t="s">
        <v>41</v>
      </c>
      <c r="F5" s="20" t="s">
        <v>42</v>
      </c>
      <c r="G5" s="20" t="s">
        <v>43</v>
      </c>
      <c r="H5" s="20" t="s">
        <v>44</v>
      </c>
      <c r="I5" s="20" t="s">
        <v>45</v>
      </c>
      <c r="J5" s="20" t="s">
        <v>46</v>
      </c>
      <c r="K5" s="21" t="s">
        <v>47</v>
      </c>
    </row>
    <row r="6" customFormat="false" ht="19.5" hidden="false" customHeight="true" outlineLevel="0" collapsed="false">
      <c r="A6" s="2"/>
      <c r="B6" s="22" t="n">
        <v>1</v>
      </c>
      <c r="C6" s="23" t="str">
        <f aca="false">IFERROR(INDEX(SearchDB!$A$2:$A$2222,MATCH(1,SearchDB!$L$2:$L$2222,0)),"")</f>
        <v/>
      </c>
      <c r="D6" s="23" t="str">
        <f aca="false">IFERROR(INDEX(SearchDB!$B$2:$B$2222,MATCH(1,SearchDB!$L$2:$L$2222,0)),"")</f>
        <v/>
      </c>
      <c r="E6" s="22" t="str">
        <f aca="false">IFERROR(INDEX(SearchDB!$C$2:$C$2222,MATCH(1,SearchDB!$L$2:$L$2222,0)),"")</f>
        <v/>
      </c>
      <c r="F6" s="23" t="str">
        <f aca="false">IFERROR(IF(INDEX(SearchDB!$D$2:$D$2222,MATCH(1,SearchDB!$L$2:$L$2222,0))=0,"",INDEX(SearchDB!$D$2:$D$2222,MATCH(1,SearchDB!$L$2:$L$2222,0))),"")</f>
        <v/>
      </c>
      <c r="G6" s="23" t="str">
        <f aca="false">IFERROR(IF(INDEX(SearchDB!$E$2:$E$2222,MATCH(1,SearchDB!$L$2:$L$2222,0))=0,"",INDEX(SearchDB!$E$2:$E$2222,MATCH(1,SearchDB!$L$2:$L$2222,0))),"")</f>
        <v/>
      </c>
      <c r="H6" s="23" t="str">
        <f aca="false">IFERROR(IF(INDEX(SearchDB!$F$2:$F$2222,MATCH(1,SearchDB!$L$2:$L$2222,0))=0,"",INDEX(SearchDB!$F$2:$F$2222,MATCH(1,SearchDB!$L$2:$L$2222,0))),"")</f>
        <v/>
      </c>
      <c r="I6" s="23" t="str">
        <f aca="false">IFERROR(IF(INDEX(SearchDB!$G$2:$G$2222,MATCH(1,SearchDB!$L$2:$L$2222,0))=0,"",INDEX(SearchDB!$G$2:$G$2222,MATCH(1,SearchDB!$L$2:$L$2222,0))),"")</f>
        <v/>
      </c>
      <c r="J6" s="23" t="str">
        <f aca="false">IFERROR(IF(INDEX(SearchDB!$H$2:$H$2222,MATCH(1,SearchDB!$L$2:$L$2222,0))=0,"",INDEX(SearchDB!$H$2:$H$2222,MATCH(1,SearchDB!$L$2:$L$2222,0))),"")</f>
        <v/>
      </c>
      <c r="K6" s="24"/>
    </row>
    <row r="7" customFormat="false" ht="19.5" hidden="false" customHeight="true" outlineLevel="0" collapsed="false">
      <c r="A7" s="2"/>
      <c r="B7" s="25" t="n">
        <v>2</v>
      </c>
      <c r="C7" s="26" t="str">
        <f aca="false">IFERROR(INDEX(SearchDB!$A$2:$A$2222,MATCH(2,SearchDB!$L$2:$L$2222,0)),"")</f>
        <v/>
      </c>
      <c r="D7" s="26" t="str">
        <f aca="false">IFERROR(INDEX(SearchDB!$B$2:$B$2222,MATCH(2,SearchDB!$L$2:$L$2222,0)),"")</f>
        <v/>
      </c>
      <c r="E7" s="25" t="str">
        <f aca="false">IFERROR(INDEX(SearchDB!$C$2:$C$2222,MATCH(2,SearchDB!$L$2:$L$2222,0)),"")</f>
        <v/>
      </c>
      <c r="F7" s="26" t="str">
        <f aca="false">IFERROR(IF(INDEX(SearchDB!$D$2:$D$2222,MATCH(2,SearchDB!$L$2:$L$2222,0))=0,"",INDEX(SearchDB!$D$2:$D$2222,MATCH(2,SearchDB!$L$2:$L$2222,0))),"")</f>
        <v/>
      </c>
      <c r="G7" s="26" t="str">
        <f aca="false">IFERROR(IF(INDEX(SearchDB!$E$2:$E$2222,MATCH(2,SearchDB!$L$2:$L$2222,0))=0,"",INDEX(SearchDB!$E$2:$E$2222,MATCH(2,SearchDB!$L$2:$L$2222,0))),"")</f>
        <v/>
      </c>
      <c r="H7" s="26" t="str">
        <f aca="false">IFERROR(IF(INDEX(SearchDB!$F$2:$F$2222,MATCH(2,SearchDB!$L$2:$L$2222,0))=0,"",INDEX(SearchDB!$F$2:$F$2222,MATCH(2,SearchDB!$L$2:$L$2222,0))),"")</f>
        <v/>
      </c>
      <c r="I7" s="26" t="str">
        <f aca="false">IFERROR(IF(INDEX(SearchDB!$G$2:$G$2222,MATCH(2,SearchDB!$L$2:$L$2222,0))=0,"",INDEX(SearchDB!$G$2:$G$2222,MATCH(2,SearchDB!$L$2:$L$2222,0))),"")</f>
        <v/>
      </c>
      <c r="J7" s="26" t="str">
        <f aca="false">IFERROR(IF(INDEX(SearchDB!$H$2:$H$2222,MATCH(2,SearchDB!$L$2:$L$2222,0))=0,"",INDEX(SearchDB!$H$2:$H$2222,MATCH(2,SearchDB!$L$2:$L$2222,0))),"")</f>
        <v/>
      </c>
      <c r="K7" s="24"/>
    </row>
    <row r="8" customFormat="false" ht="19.5" hidden="false" customHeight="true" outlineLevel="0" collapsed="false">
      <c r="A8" s="2"/>
      <c r="B8" s="22" t="n">
        <v>3</v>
      </c>
      <c r="C8" s="23" t="str">
        <f aca="false">IFERROR(INDEX(SearchDB!$A$2:$A$2222,MATCH(3,SearchDB!$L$2:$L$2222,0)),"")</f>
        <v/>
      </c>
      <c r="D8" s="23" t="str">
        <f aca="false">IFERROR(INDEX(SearchDB!$B$2:$B$2222,MATCH(3,SearchDB!$L$2:$L$2222,0)),"")</f>
        <v/>
      </c>
      <c r="E8" s="22" t="str">
        <f aca="false">IFERROR(INDEX(SearchDB!$C$2:$C$2222,MATCH(3,SearchDB!$L$2:$L$2222,0)),"")</f>
        <v/>
      </c>
      <c r="F8" s="23" t="str">
        <f aca="false">IFERROR(IF(INDEX(SearchDB!$D$2:$D$2222,MATCH(3,SearchDB!$L$2:$L$2222,0))=0,"",INDEX(SearchDB!$D$2:$D$2222,MATCH(3,SearchDB!$L$2:$L$2222,0))),"")</f>
        <v/>
      </c>
      <c r="G8" s="23" t="str">
        <f aca="false">IFERROR(IF(INDEX(SearchDB!$E$2:$E$2222,MATCH(3,SearchDB!$L$2:$L$2222,0))=0,"",INDEX(SearchDB!$E$2:$E$2222,MATCH(3,SearchDB!$L$2:$L$2222,0))),"")</f>
        <v/>
      </c>
      <c r="H8" s="23" t="str">
        <f aca="false">IFERROR(IF(INDEX(SearchDB!$F$2:$F$2222,MATCH(3,SearchDB!$L$2:$L$2222,0))=0,"",INDEX(SearchDB!$F$2:$F$2222,MATCH(3,SearchDB!$L$2:$L$2222,0))),"")</f>
        <v/>
      </c>
      <c r="I8" s="23" t="str">
        <f aca="false">IFERROR(IF(INDEX(SearchDB!$G$2:$G$2222,MATCH(3,SearchDB!$L$2:$L$2222,0))=0,"",INDEX(SearchDB!$G$2:$G$2222,MATCH(3,SearchDB!$L$2:$L$2222,0))),"")</f>
        <v/>
      </c>
      <c r="J8" s="23" t="str">
        <f aca="false">IFERROR(IF(INDEX(SearchDB!$H$2:$H$2222,MATCH(3,SearchDB!$L$2:$L$2222,0))=0,"",INDEX(SearchDB!$H$2:$H$2222,MATCH(3,SearchDB!$L$2:$L$2222,0))),"")</f>
        <v/>
      </c>
      <c r="K8" s="24"/>
    </row>
    <row r="9" customFormat="false" ht="19.5" hidden="false" customHeight="true" outlineLevel="0" collapsed="false">
      <c r="A9" s="2"/>
      <c r="B9" s="25" t="n">
        <v>4</v>
      </c>
      <c r="C9" s="26" t="str">
        <f aca="false">IFERROR(INDEX(SearchDB!$A$2:$A$2222,MATCH(4,SearchDB!$L$2:$L$2222,0)),"")</f>
        <v/>
      </c>
      <c r="D9" s="26" t="str">
        <f aca="false">IFERROR(INDEX(SearchDB!$B$2:$B$2222,MATCH(4,SearchDB!$L$2:$L$2222,0)),"")</f>
        <v/>
      </c>
      <c r="E9" s="25" t="str">
        <f aca="false">IFERROR(INDEX(SearchDB!$C$2:$C$2222,MATCH(4,SearchDB!$L$2:$L$2222,0)),"")</f>
        <v/>
      </c>
      <c r="F9" s="26" t="str">
        <f aca="false">IFERROR(IF(INDEX(SearchDB!$D$2:$D$2222,MATCH(4,SearchDB!$L$2:$L$2222,0))=0,"",INDEX(SearchDB!$D$2:$D$2222,MATCH(4,SearchDB!$L$2:$L$2222,0))),"")</f>
        <v/>
      </c>
      <c r="G9" s="26" t="str">
        <f aca="false">IFERROR(IF(INDEX(SearchDB!$E$2:$E$2222,MATCH(4,SearchDB!$L$2:$L$2222,0))=0,"",INDEX(SearchDB!$E$2:$E$2222,MATCH(4,SearchDB!$L$2:$L$2222,0))),"")</f>
        <v/>
      </c>
      <c r="H9" s="26" t="str">
        <f aca="false">IFERROR(IF(INDEX(SearchDB!$F$2:$F$2222,MATCH(4,SearchDB!$L$2:$L$2222,0))=0,"",INDEX(SearchDB!$F$2:$F$2222,MATCH(4,SearchDB!$L$2:$L$2222,0))),"")</f>
        <v/>
      </c>
      <c r="I9" s="26" t="str">
        <f aca="false">IFERROR(IF(INDEX(SearchDB!$G$2:$G$2222,MATCH(4,SearchDB!$L$2:$L$2222,0))=0,"",INDEX(SearchDB!$G$2:$G$2222,MATCH(4,SearchDB!$L$2:$L$2222,0))),"")</f>
        <v/>
      </c>
      <c r="J9" s="26" t="str">
        <f aca="false">IFERROR(IF(INDEX(SearchDB!$H$2:$H$2222,MATCH(4,SearchDB!$L$2:$L$2222,0))=0,"",INDEX(SearchDB!$H$2:$H$2222,MATCH(4,SearchDB!$L$2:$L$2222,0))),"")</f>
        <v/>
      </c>
      <c r="K9" s="24"/>
    </row>
    <row r="10" customFormat="false" ht="19.5" hidden="false" customHeight="true" outlineLevel="0" collapsed="false">
      <c r="A10" s="2"/>
      <c r="B10" s="22" t="n">
        <v>5</v>
      </c>
      <c r="C10" s="23" t="str">
        <f aca="false">IFERROR(INDEX(SearchDB!$A$2:$A$2222,MATCH(5,SearchDB!$L$2:$L$2222,0)),"")</f>
        <v/>
      </c>
      <c r="D10" s="23" t="str">
        <f aca="false">IFERROR(INDEX(SearchDB!$B$2:$B$2222,MATCH(5,SearchDB!$L$2:$L$2222,0)),"")</f>
        <v/>
      </c>
      <c r="E10" s="22" t="str">
        <f aca="false">IFERROR(INDEX(SearchDB!$C$2:$C$2222,MATCH(5,SearchDB!$L$2:$L$2222,0)),"")</f>
        <v/>
      </c>
      <c r="F10" s="23" t="str">
        <f aca="false">IFERROR(IF(INDEX(SearchDB!$D$2:$D$2222,MATCH(5,SearchDB!$L$2:$L$2222,0))=0,"",INDEX(SearchDB!$D$2:$D$2222,MATCH(5,SearchDB!$L$2:$L$2222,0))),"")</f>
        <v/>
      </c>
      <c r="G10" s="23" t="str">
        <f aca="false">IFERROR(IF(INDEX(SearchDB!$E$2:$E$2222,MATCH(5,SearchDB!$L$2:$L$2222,0))=0,"",INDEX(SearchDB!$E$2:$E$2222,MATCH(5,SearchDB!$L$2:$L$2222,0))),"")</f>
        <v/>
      </c>
      <c r="H10" s="23" t="str">
        <f aca="false">IFERROR(IF(INDEX(SearchDB!$F$2:$F$2222,MATCH(5,SearchDB!$L$2:$L$2222,0))=0,"",INDEX(SearchDB!$F$2:$F$2222,MATCH(5,SearchDB!$L$2:$L$2222,0))),"")</f>
        <v/>
      </c>
      <c r="I10" s="23" t="str">
        <f aca="false">IFERROR(IF(INDEX(SearchDB!$G$2:$G$2222,MATCH(5,SearchDB!$L$2:$L$2222,0))=0,"",INDEX(SearchDB!$G$2:$G$2222,MATCH(5,SearchDB!$L$2:$L$2222,0))),"")</f>
        <v/>
      </c>
      <c r="J10" s="23" t="str">
        <f aca="false">IFERROR(IF(INDEX(SearchDB!$H$2:$H$2222,MATCH(5,SearchDB!$L$2:$L$2222,0))=0,"",INDEX(SearchDB!$H$2:$H$2222,MATCH(5,SearchDB!$L$2:$L$2222,0))),"")</f>
        <v/>
      </c>
      <c r="K10" s="24"/>
    </row>
    <row r="11" customFormat="false" ht="19.5" hidden="false" customHeight="true" outlineLevel="0" collapsed="false">
      <c r="A11" s="2"/>
      <c r="B11" s="25" t="n">
        <v>6</v>
      </c>
      <c r="C11" s="26" t="str">
        <f aca="false">IFERROR(INDEX(SearchDB!$A$2:$A$2222,MATCH(6,SearchDB!$L$2:$L$2222,0)),"")</f>
        <v/>
      </c>
      <c r="D11" s="26" t="str">
        <f aca="false">IFERROR(INDEX(SearchDB!$B$2:$B$2222,MATCH(6,SearchDB!$L$2:$L$2222,0)),"")</f>
        <v/>
      </c>
      <c r="E11" s="25" t="str">
        <f aca="false">IFERROR(INDEX(SearchDB!$C$2:$C$2222,MATCH(6,SearchDB!$L$2:$L$2222,0)),"")</f>
        <v/>
      </c>
      <c r="F11" s="26" t="str">
        <f aca="false">IFERROR(IF(INDEX(SearchDB!$D$2:$D$2222,MATCH(6,SearchDB!$L$2:$L$2222,0))=0,"",INDEX(SearchDB!$D$2:$D$2222,MATCH(6,SearchDB!$L$2:$L$2222,0))),"")</f>
        <v/>
      </c>
      <c r="G11" s="26" t="str">
        <f aca="false">IFERROR(IF(INDEX(SearchDB!$E$2:$E$2222,MATCH(6,SearchDB!$L$2:$L$2222,0))=0,"",INDEX(SearchDB!$E$2:$E$2222,MATCH(6,SearchDB!$L$2:$L$2222,0))),"")</f>
        <v/>
      </c>
      <c r="H11" s="26" t="str">
        <f aca="false">IFERROR(IF(INDEX(SearchDB!$F$2:$F$2222,MATCH(6,SearchDB!$L$2:$L$2222,0))=0,"",INDEX(SearchDB!$F$2:$F$2222,MATCH(6,SearchDB!$L$2:$L$2222,0))),"")</f>
        <v/>
      </c>
      <c r="I11" s="26" t="str">
        <f aca="false">IFERROR(IF(INDEX(SearchDB!$G$2:$G$2222,MATCH(6,SearchDB!$L$2:$L$2222,0))=0,"",INDEX(SearchDB!$G$2:$G$2222,MATCH(6,SearchDB!$L$2:$L$2222,0))),"")</f>
        <v/>
      </c>
      <c r="J11" s="26" t="str">
        <f aca="false">IFERROR(IF(INDEX(SearchDB!$H$2:$H$2222,MATCH(6,SearchDB!$L$2:$L$2222,0))=0,"",INDEX(SearchDB!$H$2:$H$2222,MATCH(6,SearchDB!$L$2:$L$2222,0))),"")</f>
        <v/>
      </c>
      <c r="K11" s="24"/>
    </row>
    <row r="12" customFormat="false" ht="19.5" hidden="false" customHeight="true" outlineLevel="0" collapsed="false">
      <c r="A12" s="2"/>
      <c r="B12" s="22" t="n">
        <v>7</v>
      </c>
      <c r="C12" s="23" t="str">
        <f aca="false">IFERROR(INDEX(SearchDB!$A$2:$A$2222,MATCH(7,SearchDB!$L$2:$L$2222,0)),"")</f>
        <v/>
      </c>
      <c r="D12" s="23" t="str">
        <f aca="false">IFERROR(INDEX(SearchDB!$B$2:$B$2222,MATCH(7,SearchDB!$L$2:$L$2222,0)),"")</f>
        <v/>
      </c>
      <c r="E12" s="22" t="str">
        <f aca="false">IFERROR(INDEX(SearchDB!$C$2:$C$2222,MATCH(7,SearchDB!$L$2:$L$2222,0)),"")</f>
        <v/>
      </c>
      <c r="F12" s="23" t="str">
        <f aca="false">IFERROR(IF(INDEX(SearchDB!$D$2:$D$2222,MATCH(7,SearchDB!$L$2:$L$2222,0))=0,"",INDEX(SearchDB!$D$2:$D$2222,MATCH(7,SearchDB!$L$2:$L$2222,0))),"")</f>
        <v/>
      </c>
      <c r="G12" s="23" t="str">
        <f aca="false">IFERROR(IF(INDEX(SearchDB!$E$2:$E$2222,MATCH(7,SearchDB!$L$2:$L$2222,0))=0,"",INDEX(SearchDB!$E$2:$E$2222,MATCH(7,SearchDB!$L$2:$L$2222,0))),"")</f>
        <v/>
      </c>
      <c r="H12" s="23" t="str">
        <f aca="false">IFERROR(IF(INDEX(SearchDB!$F$2:$F$2222,MATCH(7,SearchDB!$L$2:$L$2222,0))=0,"",INDEX(SearchDB!$F$2:$F$2222,MATCH(7,SearchDB!$L$2:$L$2222,0))),"")</f>
        <v/>
      </c>
      <c r="I12" s="23" t="str">
        <f aca="false">IFERROR(IF(INDEX(SearchDB!$G$2:$G$2222,MATCH(7,SearchDB!$L$2:$L$2222,0))=0,"",INDEX(SearchDB!$G$2:$G$2222,MATCH(7,SearchDB!$L$2:$L$2222,0))),"")</f>
        <v/>
      </c>
      <c r="J12" s="23" t="str">
        <f aca="false">IFERROR(IF(INDEX(SearchDB!$H$2:$H$2222,MATCH(7,SearchDB!$L$2:$L$2222,0))=0,"",INDEX(SearchDB!$H$2:$H$2222,MATCH(7,SearchDB!$L$2:$L$2222,0))),"")</f>
        <v/>
      </c>
      <c r="K12" s="24"/>
    </row>
    <row r="13" customFormat="false" ht="19.5" hidden="false" customHeight="true" outlineLevel="0" collapsed="false">
      <c r="A13" s="2"/>
      <c r="B13" s="25" t="n">
        <v>8</v>
      </c>
      <c r="C13" s="26" t="str">
        <f aca="false">IFERROR(INDEX(SearchDB!$A$2:$A$2222,MATCH(8,SearchDB!$L$2:$L$2222,0)),"")</f>
        <v/>
      </c>
      <c r="D13" s="26" t="str">
        <f aca="false">IFERROR(INDEX(SearchDB!$B$2:$B$2222,MATCH(8,SearchDB!$L$2:$L$2222,0)),"")</f>
        <v/>
      </c>
      <c r="E13" s="25" t="str">
        <f aca="false">IFERROR(INDEX(SearchDB!$C$2:$C$2222,MATCH(8,SearchDB!$L$2:$L$2222,0)),"")</f>
        <v/>
      </c>
      <c r="F13" s="26" t="str">
        <f aca="false">IFERROR(IF(INDEX(SearchDB!$D$2:$D$2222,MATCH(8,SearchDB!$L$2:$L$2222,0))=0,"",INDEX(SearchDB!$D$2:$D$2222,MATCH(8,SearchDB!$L$2:$L$2222,0))),"")</f>
        <v/>
      </c>
      <c r="G13" s="26" t="str">
        <f aca="false">IFERROR(IF(INDEX(SearchDB!$E$2:$E$2222,MATCH(8,SearchDB!$L$2:$L$2222,0))=0,"",INDEX(SearchDB!$E$2:$E$2222,MATCH(8,SearchDB!$L$2:$L$2222,0))),"")</f>
        <v/>
      </c>
      <c r="H13" s="26" t="str">
        <f aca="false">IFERROR(IF(INDEX(SearchDB!$F$2:$F$2222,MATCH(8,SearchDB!$L$2:$L$2222,0))=0,"",INDEX(SearchDB!$F$2:$F$2222,MATCH(8,SearchDB!$L$2:$L$2222,0))),"")</f>
        <v/>
      </c>
      <c r="I13" s="26" t="str">
        <f aca="false">IFERROR(IF(INDEX(SearchDB!$G$2:$G$2222,MATCH(8,SearchDB!$L$2:$L$2222,0))=0,"",INDEX(SearchDB!$G$2:$G$2222,MATCH(8,SearchDB!$L$2:$L$2222,0))),"")</f>
        <v/>
      </c>
      <c r="J13" s="26" t="str">
        <f aca="false">IFERROR(IF(INDEX(SearchDB!$H$2:$H$2222,MATCH(8,SearchDB!$L$2:$L$2222,0))=0,"",INDEX(SearchDB!$H$2:$H$2222,MATCH(8,SearchDB!$L$2:$L$2222,0))),"")</f>
        <v/>
      </c>
      <c r="K13" s="24"/>
    </row>
    <row r="14" customFormat="false" ht="19.5" hidden="false" customHeight="true" outlineLevel="0" collapsed="false">
      <c r="A14" s="2"/>
      <c r="B14" s="22" t="n">
        <v>9</v>
      </c>
      <c r="C14" s="23" t="str">
        <f aca="false">IFERROR(INDEX(SearchDB!$A$2:$A$2222,MATCH(9,SearchDB!$L$2:$L$2222,0)),"")</f>
        <v/>
      </c>
      <c r="D14" s="23" t="str">
        <f aca="false">IFERROR(INDEX(SearchDB!$B$2:$B$2222,MATCH(9,SearchDB!$L$2:$L$2222,0)),"")</f>
        <v/>
      </c>
      <c r="E14" s="22" t="str">
        <f aca="false">IFERROR(INDEX(SearchDB!$C$2:$C$2222,MATCH(9,SearchDB!$L$2:$L$2222,0)),"")</f>
        <v/>
      </c>
      <c r="F14" s="23" t="str">
        <f aca="false">IFERROR(IF(INDEX(SearchDB!$D$2:$D$2222,MATCH(9,SearchDB!$L$2:$L$2222,0))=0,"",INDEX(SearchDB!$D$2:$D$2222,MATCH(9,SearchDB!$L$2:$L$2222,0))),"")</f>
        <v/>
      </c>
      <c r="G14" s="23" t="str">
        <f aca="false">IFERROR(IF(INDEX(SearchDB!$E$2:$E$2222,MATCH(9,SearchDB!$L$2:$L$2222,0))=0,"",INDEX(SearchDB!$E$2:$E$2222,MATCH(9,SearchDB!$L$2:$L$2222,0))),"")</f>
        <v/>
      </c>
      <c r="H14" s="23" t="str">
        <f aca="false">IFERROR(IF(INDEX(SearchDB!$F$2:$F$2222,MATCH(9,SearchDB!$L$2:$L$2222,0))=0,"",INDEX(SearchDB!$F$2:$F$2222,MATCH(9,SearchDB!$L$2:$L$2222,0))),"")</f>
        <v/>
      </c>
      <c r="I14" s="23" t="str">
        <f aca="false">IFERROR(IF(INDEX(SearchDB!$G$2:$G$2222,MATCH(9,SearchDB!$L$2:$L$2222,0))=0,"",INDEX(SearchDB!$G$2:$G$2222,MATCH(9,SearchDB!$L$2:$L$2222,0))),"")</f>
        <v/>
      </c>
      <c r="J14" s="23" t="str">
        <f aca="false">IFERROR(IF(INDEX(SearchDB!$H$2:$H$2222,MATCH(9,SearchDB!$L$2:$L$2222,0))=0,"",INDEX(SearchDB!$H$2:$H$2222,MATCH(9,SearchDB!$L$2:$L$2222,0))),"")</f>
        <v/>
      </c>
      <c r="K14" s="24"/>
    </row>
    <row r="15" customFormat="false" ht="19.5" hidden="false" customHeight="true" outlineLevel="0" collapsed="false">
      <c r="A15" s="2"/>
      <c r="B15" s="25" t="n">
        <v>10</v>
      </c>
      <c r="C15" s="26" t="str">
        <f aca="false">IFERROR(INDEX(SearchDB!$A$2:$A$2222,MATCH(10,SearchDB!$L$2:$L$2222,0)),"")</f>
        <v/>
      </c>
      <c r="D15" s="26" t="str">
        <f aca="false">IFERROR(INDEX(SearchDB!$B$2:$B$2222,MATCH(10,SearchDB!$L$2:$L$2222,0)),"")</f>
        <v/>
      </c>
      <c r="E15" s="25" t="str">
        <f aca="false">IFERROR(INDEX(SearchDB!$C$2:$C$2222,MATCH(10,SearchDB!$L$2:$L$2222,0)),"")</f>
        <v/>
      </c>
      <c r="F15" s="26" t="str">
        <f aca="false">IFERROR(IF(INDEX(SearchDB!$D$2:$D$2222,MATCH(10,SearchDB!$L$2:$L$2222,0))=0,"",INDEX(SearchDB!$D$2:$D$2222,MATCH(10,SearchDB!$L$2:$L$2222,0))),"")</f>
        <v/>
      </c>
      <c r="G15" s="26" t="str">
        <f aca="false">IFERROR(IF(INDEX(SearchDB!$E$2:$E$2222,MATCH(10,SearchDB!$L$2:$L$2222,0))=0,"",INDEX(SearchDB!$E$2:$E$2222,MATCH(10,SearchDB!$L$2:$L$2222,0))),"")</f>
        <v/>
      </c>
      <c r="H15" s="26" t="str">
        <f aca="false">IFERROR(IF(INDEX(SearchDB!$F$2:$F$2222,MATCH(10,SearchDB!$L$2:$L$2222,0))=0,"",INDEX(SearchDB!$F$2:$F$2222,MATCH(10,SearchDB!$L$2:$L$2222,0))),"")</f>
        <v/>
      </c>
      <c r="I15" s="26" t="str">
        <f aca="false">IFERROR(IF(INDEX(SearchDB!$G$2:$G$2222,MATCH(10,SearchDB!$L$2:$L$2222,0))=0,"",INDEX(SearchDB!$G$2:$G$2222,MATCH(10,SearchDB!$L$2:$L$2222,0))),"")</f>
        <v/>
      </c>
      <c r="J15" s="26" t="str">
        <f aca="false">IFERROR(IF(INDEX(SearchDB!$H$2:$H$2222,MATCH(10,SearchDB!$L$2:$L$2222,0))=0,"",INDEX(SearchDB!$H$2:$H$2222,MATCH(10,SearchDB!$L$2:$L$2222,0))),"")</f>
        <v/>
      </c>
      <c r="K15" s="24"/>
    </row>
    <row r="16" customFormat="false" ht="19.5" hidden="false" customHeight="true" outlineLevel="0" collapsed="false">
      <c r="A16" s="2"/>
      <c r="B16" s="22" t="n">
        <v>11</v>
      </c>
      <c r="C16" s="23" t="str">
        <f aca="false">IFERROR(INDEX(SearchDB!$A$2:$A$2222,MATCH(11,SearchDB!$L$2:$L$2222,0)),"")</f>
        <v/>
      </c>
      <c r="D16" s="23" t="str">
        <f aca="false">IFERROR(INDEX(SearchDB!$B$2:$B$2222,MATCH(11,SearchDB!$L$2:$L$2222,0)),"")</f>
        <v/>
      </c>
      <c r="E16" s="22" t="str">
        <f aca="false">IFERROR(INDEX(SearchDB!$C$2:$C$2222,MATCH(11,SearchDB!$L$2:$L$2222,0)),"")</f>
        <v/>
      </c>
      <c r="F16" s="23" t="str">
        <f aca="false">IFERROR(IF(INDEX(SearchDB!$D$2:$D$2222,MATCH(11,SearchDB!$L$2:$L$2222,0))=0,"",INDEX(SearchDB!$D$2:$D$2222,MATCH(11,SearchDB!$L$2:$L$2222,0))),"")</f>
        <v/>
      </c>
      <c r="G16" s="23" t="str">
        <f aca="false">IFERROR(IF(INDEX(SearchDB!$E$2:$E$2222,MATCH(11,SearchDB!$L$2:$L$2222,0))=0,"",INDEX(SearchDB!$E$2:$E$2222,MATCH(11,SearchDB!$L$2:$L$2222,0))),"")</f>
        <v/>
      </c>
      <c r="H16" s="23" t="str">
        <f aca="false">IFERROR(IF(INDEX(SearchDB!$F$2:$F$2222,MATCH(11,SearchDB!$L$2:$L$2222,0))=0,"",INDEX(SearchDB!$F$2:$F$2222,MATCH(11,SearchDB!$L$2:$L$2222,0))),"")</f>
        <v/>
      </c>
      <c r="I16" s="23" t="str">
        <f aca="false">IFERROR(IF(INDEX(SearchDB!$G$2:$G$2222,MATCH(11,SearchDB!$L$2:$L$2222,0))=0,"",INDEX(SearchDB!$G$2:$G$2222,MATCH(11,SearchDB!$L$2:$L$2222,0))),"")</f>
        <v/>
      </c>
      <c r="J16" s="23" t="str">
        <f aca="false">IFERROR(IF(INDEX(SearchDB!$H$2:$H$2222,MATCH(11,SearchDB!$L$2:$L$2222,0))=0,"",INDEX(SearchDB!$H$2:$H$2222,MATCH(11,SearchDB!$L$2:$L$2222,0))),"")</f>
        <v/>
      </c>
      <c r="K16" s="24"/>
    </row>
    <row r="17" customFormat="false" ht="19.5" hidden="false" customHeight="true" outlineLevel="0" collapsed="false">
      <c r="A17" s="2"/>
      <c r="B17" s="25" t="n">
        <v>12</v>
      </c>
      <c r="C17" s="26" t="str">
        <f aca="false">IFERROR(INDEX(SearchDB!$A$2:$A$2222,MATCH(12,SearchDB!$L$2:$L$2222,0)),"")</f>
        <v/>
      </c>
      <c r="D17" s="26" t="str">
        <f aca="false">IFERROR(INDEX(SearchDB!$B$2:$B$2222,MATCH(12,SearchDB!$L$2:$L$2222,0)),"")</f>
        <v/>
      </c>
      <c r="E17" s="25" t="str">
        <f aca="false">IFERROR(INDEX(SearchDB!$C$2:$C$2222,MATCH(12,SearchDB!$L$2:$L$2222,0)),"")</f>
        <v/>
      </c>
      <c r="F17" s="26" t="str">
        <f aca="false">IFERROR(IF(INDEX(SearchDB!$D$2:$D$2222,MATCH(12,SearchDB!$L$2:$L$2222,0))=0,"",INDEX(SearchDB!$D$2:$D$2222,MATCH(12,SearchDB!$L$2:$L$2222,0))),"")</f>
        <v/>
      </c>
      <c r="G17" s="26" t="str">
        <f aca="false">IFERROR(IF(INDEX(SearchDB!$E$2:$E$2222,MATCH(12,SearchDB!$L$2:$L$2222,0))=0,"",INDEX(SearchDB!$E$2:$E$2222,MATCH(12,SearchDB!$L$2:$L$2222,0))),"")</f>
        <v/>
      </c>
      <c r="H17" s="26" t="str">
        <f aca="false">IFERROR(IF(INDEX(SearchDB!$F$2:$F$2222,MATCH(12,SearchDB!$L$2:$L$2222,0))=0,"",INDEX(SearchDB!$F$2:$F$2222,MATCH(12,SearchDB!$L$2:$L$2222,0))),"")</f>
        <v/>
      </c>
      <c r="I17" s="26" t="str">
        <f aca="false">IFERROR(IF(INDEX(SearchDB!$G$2:$G$2222,MATCH(12,SearchDB!$L$2:$L$2222,0))=0,"",INDEX(SearchDB!$G$2:$G$2222,MATCH(12,SearchDB!$L$2:$L$2222,0))),"")</f>
        <v/>
      </c>
      <c r="J17" s="26" t="str">
        <f aca="false">IFERROR(IF(INDEX(SearchDB!$H$2:$H$2222,MATCH(12,SearchDB!$L$2:$L$2222,0))=0,"",INDEX(SearchDB!$H$2:$H$2222,MATCH(12,SearchDB!$L$2:$L$2222,0))),"")</f>
        <v/>
      </c>
      <c r="K17" s="24"/>
    </row>
    <row r="18" customFormat="false" ht="19.5" hidden="false" customHeight="true" outlineLevel="0" collapsed="false">
      <c r="A18" s="2"/>
      <c r="B18" s="22" t="n">
        <v>13</v>
      </c>
      <c r="C18" s="23" t="str">
        <f aca="false">IFERROR(INDEX(SearchDB!$A$2:$A$2222,MATCH(13,SearchDB!$L$2:$L$2222,0)),"")</f>
        <v/>
      </c>
      <c r="D18" s="23" t="str">
        <f aca="false">IFERROR(INDEX(SearchDB!$B$2:$B$2222,MATCH(13,SearchDB!$L$2:$L$2222,0)),"")</f>
        <v/>
      </c>
      <c r="E18" s="22" t="str">
        <f aca="false">IFERROR(INDEX(SearchDB!$C$2:$C$2222,MATCH(13,SearchDB!$L$2:$L$2222,0)),"")</f>
        <v/>
      </c>
      <c r="F18" s="23" t="str">
        <f aca="false">IFERROR(IF(INDEX(SearchDB!$D$2:$D$2222,MATCH(13,SearchDB!$L$2:$L$2222,0))=0,"",INDEX(SearchDB!$D$2:$D$2222,MATCH(13,SearchDB!$L$2:$L$2222,0))),"")</f>
        <v/>
      </c>
      <c r="G18" s="23" t="str">
        <f aca="false">IFERROR(IF(INDEX(SearchDB!$E$2:$E$2222,MATCH(13,SearchDB!$L$2:$L$2222,0))=0,"",INDEX(SearchDB!$E$2:$E$2222,MATCH(13,SearchDB!$L$2:$L$2222,0))),"")</f>
        <v/>
      </c>
      <c r="H18" s="23" t="str">
        <f aca="false">IFERROR(IF(INDEX(SearchDB!$F$2:$F$2222,MATCH(13,SearchDB!$L$2:$L$2222,0))=0,"",INDEX(SearchDB!$F$2:$F$2222,MATCH(13,SearchDB!$L$2:$L$2222,0))),"")</f>
        <v/>
      </c>
      <c r="I18" s="23" t="str">
        <f aca="false">IFERROR(IF(INDEX(SearchDB!$G$2:$G$2222,MATCH(13,SearchDB!$L$2:$L$2222,0))=0,"",INDEX(SearchDB!$G$2:$G$2222,MATCH(13,SearchDB!$L$2:$L$2222,0))),"")</f>
        <v/>
      </c>
      <c r="J18" s="23" t="str">
        <f aca="false">IFERROR(IF(INDEX(SearchDB!$H$2:$H$2222,MATCH(13,SearchDB!$L$2:$L$2222,0))=0,"",INDEX(SearchDB!$H$2:$H$2222,MATCH(13,SearchDB!$L$2:$L$2222,0))),"")</f>
        <v/>
      </c>
      <c r="K18" s="24"/>
    </row>
    <row r="19" customFormat="false" ht="19.5" hidden="false" customHeight="true" outlineLevel="0" collapsed="false">
      <c r="A19" s="2"/>
      <c r="B19" s="25" t="n">
        <v>14</v>
      </c>
      <c r="C19" s="26" t="str">
        <f aca="false">IFERROR(INDEX(SearchDB!$A$2:$A$2222,MATCH(14,SearchDB!$L$2:$L$2222,0)),"")</f>
        <v/>
      </c>
      <c r="D19" s="26" t="str">
        <f aca="false">IFERROR(INDEX(SearchDB!$B$2:$B$2222,MATCH(14,SearchDB!$L$2:$L$2222,0)),"")</f>
        <v/>
      </c>
      <c r="E19" s="25" t="str">
        <f aca="false">IFERROR(INDEX(SearchDB!$C$2:$C$2222,MATCH(14,SearchDB!$L$2:$L$2222,0)),"")</f>
        <v/>
      </c>
      <c r="F19" s="26" t="str">
        <f aca="false">IFERROR(IF(INDEX(SearchDB!$D$2:$D$2222,MATCH(14,SearchDB!$L$2:$L$2222,0))=0,"",INDEX(SearchDB!$D$2:$D$2222,MATCH(14,SearchDB!$L$2:$L$2222,0))),"")</f>
        <v/>
      </c>
      <c r="G19" s="26" t="str">
        <f aca="false">IFERROR(IF(INDEX(SearchDB!$E$2:$E$2222,MATCH(14,SearchDB!$L$2:$L$2222,0))=0,"",INDEX(SearchDB!$E$2:$E$2222,MATCH(14,SearchDB!$L$2:$L$2222,0))),"")</f>
        <v/>
      </c>
      <c r="H19" s="26" t="str">
        <f aca="false">IFERROR(IF(INDEX(SearchDB!$F$2:$F$2222,MATCH(14,SearchDB!$L$2:$L$2222,0))=0,"",INDEX(SearchDB!$F$2:$F$2222,MATCH(14,SearchDB!$L$2:$L$2222,0))),"")</f>
        <v/>
      </c>
      <c r="I19" s="26" t="str">
        <f aca="false">IFERROR(IF(INDEX(SearchDB!$G$2:$G$2222,MATCH(14,SearchDB!$L$2:$L$2222,0))=0,"",INDEX(SearchDB!$G$2:$G$2222,MATCH(14,SearchDB!$L$2:$L$2222,0))),"")</f>
        <v/>
      </c>
      <c r="J19" s="26" t="str">
        <f aca="false">IFERROR(IF(INDEX(SearchDB!$H$2:$H$2222,MATCH(14,SearchDB!$L$2:$L$2222,0))=0,"",INDEX(SearchDB!$H$2:$H$2222,MATCH(14,SearchDB!$L$2:$L$2222,0))),"")</f>
        <v/>
      </c>
      <c r="K19" s="24"/>
    </row>
    <row r="20" customFormat="false" ht="19.5" hidden="false" customHeight="true" outlineLevel="0" collapsed="false">
      <c r="A20" s="2"/>
      <c r="B20" s="22" t="n">
        <v>15</v>
      </c>
      <c r="C20" s="23" t="str">
        <f aca="false">IFERROR(INDEX(SearchDB!$A$2:$A$2222,MATCH(15,SearchDB!$L$2:$L$2222,0)),"")</f>
        <v/>
      </c>
      <c r="D20" s="23" t="str">
        <f aca="false">IFERROR(INDEX(SearchDB!$B$2:$B$2222,MATCH(15,SearchDB!$L$2:$L$2222,0)),"")</f>
        <v/>
      </c>
      <c r="E20" s="22" t="str">
        <f aca="false">IFERROR(INDEX(SearchDB!$C$2:$C$2222,MATCH(15,SearchDB!$L$2:$L$2222,0)),"")</f>
        <v/>
      </c>
      <c r="F20" s="23" t="str">
        <f aca="false">IFERROR(IF(INDEX(SearchDB!$D$2:$D$2222,MATCH(15,SearchDB!$L$2:$L$2222,0))=0,"",INDEX(SearchDB!$D$2:$D$2222,MATCH(15,SearchDB!$L$2:$L$2222,0))),"")</f>
        <v/>
      </c>
      <c r="G20" s="23" t="str">
        <f aca="false">IFERROR(IF(INDEX(SearchDB!$E$2:$E$2222,MATCH(15,SearchDB!$L$2:$L$2222,0))=0,"",INDEX(SearchDB!$E$2:$E$2222,MATCH(15,SearchDB!$L$2:$L$2222,0))),"")</f>
        <v/>
      </c>
      <c r="H20" s="23" t="str">
        <f aca="false">IFERROR(IF(INDEX(SearchDB!$F$2:$F$2222,MATCH(15,SearchDB!$L$2:$L$2222,0))=0,"",INDEX(SearchDB!$F$2:$F$2222,MATCH(15,SearchDB!$L$2:$L$2222,0))),"")</f>
        <v/>
      </c>
      <c r="I20" s="23" t="str">
        <f aca="false">IFERROR(IF(INDEX(SearchDB!$G$2:$G$2222,MATCH(15,SearchDB!$L$2:$L$2222,0))=0,"",INDEX(SearchDB!$G$2:$G$2222,MATCH(15,SearchDB!$L$2:$L$2222,0))),"")</f>
        <v/>
      </c>
      <c r="J20" s="23" t="str">
        <f aca="false">IFERROR(IF(INDEX(SearchDB!$H$2:$H$2222,MATCH(15,SearchDB!$L$2:$L$2222,0))=0,"",INDEX(SearchDB!$H$2:$H$2222,MATCH(15,SearchDB!$L$2:$L$2222,0))),"")</f>
        <v/>
      </c>
      <c r="K20" s="24"/>
    </row>
    <row r="21" customFormat="false" ht="19.5" hidden="false" customHeight="true" outlineLevel="0" collapsed="false">
      <c r="A21" s="2"/>
      <c r="B21" s="25" t="n">
        <v>16</v>
      </c>
      <c r="C21" s="26" t="str">
        <f aca="false">IFERROR(INDEX(SearchDB!$A$2:$A$2222,MATCH(16,SearchDB!$L$2:$L$2222,0)),"")</f>
        <v/>
      </c>
      <c r="D21" s="26" t="str">
        <f aca="false">IFERROR(INDEX(SearchDB!$B$2:$B$2222,MATCH(16,SearchDB!$L$2:$L$2222,0)),"")</f>
        <v/>
      </c>
      <c r="E21" s="25" t="str">
        <f aca="false">IFERROR(INDEX(SearchDB!$C$2:$C$2222,MATCH(16,SearchDB!$L$2:$L$2222,0)),"")</f>
        <v/>
      </c>
      <c r="F21" s="26" t="str">
        <f aca="false">IFERROR(IF(INDEX(SearchDB!$D$2:$D$2222,MATCH(16,SearchDB!$L$2:$L$2222,0))=0,"",INDEX(SearchDB!$D$2:$D$2222,MATCH(16,SearchDB!$L$2:$L$2222,0))),"")</f>
        <v/>
      </c>
      <c r="G21" s="26" t="str">
        <f aca="false">IFERROR(IF(INDEX(SearchDB!$E$2:$E$2222,MATCH(16,SearchDB!$L$2:$L$2222,0))=0,"",INDEX(SearchDB!$E$2:$E$2222,MATCH(16,SearchDB!$L$2:$L$2222,0))),"")</f>
        <v/>
      </c>
      <c r="H21" s="26" t="str">
        <f aca="false">IFERROR(IF(INDEX(SearchDB!$F$2:$F$2222,MATCH(16,SearchDB!$L$2:$L$2222,0))=0,"",INDEX(SearchDB!$F$2:$F$2222,MATCH(16,SearchDB!$L$2:$L$2222,0))),"")</f>
        <v/>
      </c>
      <c r="I21" s="26" t="str">
        <f aca="false">IFERROR(IF(INDEX(SearchDB!$G$2:$G$2222,MATCH(16,SearchDB!$L$2:$L$2222,0))=0,"",INDEX(SearchDB!$G$2:$G$2222,MATCH(16,SearchDB!$L$2:$L$2222,0))),"")</f>
        <v/>
      </c>
      <c r="J21" s="26" t="str">
        <f aca="false">IFERROR(IF(INDEX(SearchDB!$H$2:$H$2222,MATCH(16,SearchDB!$L$2:$L$2222,0))=0,"",INDEX(SearchDB!$H$2:$H$2222,MATCH(16,SearchDB!$L$2:$L$2222,0))),"")</f>
        <v/>
      </c>
      <c r="K21" s="24"/>
    </row>
    <row r="22" customFormat="false" ht="19.5" hidden="false" customHeight="true" outlineLevel="0" collapsed="false">
      <c r="A22" s="2"/>
      <c r="B22" s="22" t="n">
        <v>17</v>
      </c>
      <c r="C22" s="23" t="str">
        <f aca="false">IFERROR(INDEX(SearchDB!$A$2:$A$2222,MATCH(17,SearchDB!$L$2:$L$2222,0)),"")</f>
        <v/>
      </c>
      <c r="D22" s="23" t="str">
        <f aca="false">IFERROR(INDEX(SearchDB!$B$2:$B$2222,MATCH(17,SearchDB!$L$2:$L$2222,0)),"")</f>
        <v/>
      </c>
      <c r="E22" s="22" t="str">
        <f aca="false">IFERROR(INDEX(SearchDB!$C$2:$C$2222,MATCH(17,SearchDB!$L$2:$L$2222,0)),"")</f>
        <v/>
      </c>
      <c r="F22" s="23" t="str">
        <f aca="false">IFERROR(IF(INDEX(SearchDB!$D$2:$D$2222,MATCH(17,SearchDB!$L$2:$L$2222,0))=0,"",INDEX(SearchDB!$D$2:$D$2222,MATCH(17,SearchDB!$L$2:$L$2222,0))),"")</f>
        <v/>
      </c>
      <c r="G22" s="23" t="str">
        <f aca="false">IFERROR(IF(INDEX(SearchDB!$E$2:$E$2222,MATCH(17,SearchDB!$L$2:$L$2222,0))=0,"",INDEX(SearchDB!$E$2:$E$2222,MATCH(17,SearchDB!$L$2:$L$2222,0))),"")</f>
        <v/>
      </c>
      <c r="H22" s="23" t="str">
        <f aca="false">IFERROR(IF(INDEX(SearchDB!$F$2:$F$2222,MATCH(17,SearchDB!$L$2:$L$2222,0))=0,"",INDEX(SearchDB!$F$2:$F$2222,MATCH(17,SearchDB!$L$2:$L$2222,0))),"")</f>
        <v/>
      </c>
      <c r="I22" s="23" t="str">
        <f aca="false">IFERROR(IF(INDEX(SearchDB!$G$2:$G$2222,MATCH(17,SearchDB!$L$2:$L$2222,0))=0,"",INDEX(SearchDB!$G$2:$G$2222,MATCH(17,SearchDB!$L$2:$L$2222,0))),"")</f>
        <v/>
      </c>
      <c r="J22" s="23" t="str">
        <f aca="false">IFERROR(IF(INDEX(SearchDB!$H$2:$H$2222,MATCH(17,SearchDB!$L$2:$L$2222,0))=0,"",INDEX(SearchDB!$H$2:$H$2222,MATCH(17,SearchDB!$L$2:$L$2222,0))),"")</f>
        <v/>
      </c>
      <c r="K22" s="24"/>
    </row>
    <row r="23" customFormat="false" ht="19.5" hidden="false" customHeight="true" outlineLevel="0" collapsed="false">
      <c r="A23" s="2"/>
      <c r="B23" s="25" t="n">
        <v>18</v>
      </c>
      <c r="C23" s="26" t="str">
        <f aca="false">IFERROR(INDEX(SearchDB!$A$2:$A$2222,MATCH(18,SearchDB!$L$2:$L$2222,0)),"")</f>
        <v/>
      </c>
      <c r="D23" s="26" t="str">
        <f aca="false">IFERROR(INDEX(SearchDB!$B$2:$B$2222,MATCH(18,SearchDB!$L$2:$L$2222,0)),"")</f>
        <v/>
      </c>
      <c r="E23" s="25" t="str">
        <f aca="false">IFERROR(INDEX(SearchDB!$C$2:$C$2222,MATCH(18,SearchDB!$L$2:$L$2222,0)),"")</f>
        <v/>
      </c>
      <c r="F23" s="26" t="str">
        <f aca="false">IFERROR(IF(INDEX(SearchDB!$D$2:$D$2222,MATCH(18,SearchDB!$L$2:$L$2222,0))=0,"",INDEX(SearchDB!$D$2:$D$2222,MATCH(18,SearchDB!$L$2:$L$2222,0))),"")</f>
        <v/>
      </c>
      <c r="G23" s="26" t="str">
        <f aca="false">IFERROR(IF(INDEX(SearchDB!$E$2:$E$2222,MATCH(18,SearchDB!$L$2:$L$2222,0))=0,"",INDEX(SearchDB!$E$2:$E$2222,MATCH(18,SearchDB!$L$2:$L$2222,0))),"")</f>
        <v/>
      </c>
      <c r="H23" s="26" t="str">
        <f aca="false">IFERROR(IF(INDEX(SearchDB!$F$2:$F$2222,MATCH(18,SearchDB!$L$2:$L$2222,0))=0,"",INDEX(SearchDB!$F$2:$F$2222,MATCH(18,SearchDB!$L$2:$L$2222,0))),"")</f>
        <v/>
      </c>
      <c r="I23" s="26" t="str">
        <f aca="false">IFERROR(IF(INDEX(SearchDB!$G$2:$G$2222,MATCH(18,SearchDB!$L$2:$L$2222,0))=0,"",INDEX(SearchDB!$G$2:$G$2222,MATCH(18,SearchDB!$L$2:$L$2222,0))),"")</f>
        <v/>
      </c>
      <c r="J23" s="26" t="str">
        <f aca="false">IFERROR(IF(INDEX(SearchDB!$H$2:$H$2222,MATCH(18,SearchDB!$L$2:$L$2222,0))=0,"",INDEX(SearchDB!$H$2:$H$2222,MATCH(18,SearchDB!$L$2:$L$2222,0))),"")</f>
        <v/>
      </c>
      <c r="K23" s="24"/>
    </row>
    <row r="24" customFormat="false" ht="19.5" hidden="false" customHeight="true" outlineLevel="0" collapsed="false">
      <c r="A24" s="2"/>
      <c r="B24" s="22" t="n">
        <v>19</v>
      </c>
      <c r="C24" s="23" t="str">
        <f aca="false">IFERROR(INDEX(SearchDB!$A$2:$A$2222,MATCH(19,SearchDB!$L$2:$L$2222,0)),"")</f>
        <v/>
      </c>
      <c r="D24" s="23" t="str">
        <f aca="false">IFERROR(INDEX(SearchDB!$B$2:$B$2222,MATCH(19,SearchDB!$L$2:$L$2222,0)),"")</f>
        <v/>
      </c>
      <c r="E24" s="22" t="str">
        <f aca="false">IFERROR(INDEX(SearchDB!$C$2:$C$2222,MATCH(19,SearchDB!$L$2:$L$2222,0)),"")</f>
        <v/>
      </c>
      <c r="F24" s="23" t="str">
        <f aca="false">IFERROR(IF(INDEX(SearchDB!$D$2:$D$2222,MATCH(19,SearchDB!$L$2:$L$2222,0))=0,"",INDEX(SearchDB!$D$2:$D$2222,MATCH(19,SearchDB!$L$2:$L$2222,0))),"")</f>
        <v/>
      </c>
      <c r="G24" s="23" t="str">
        <f aca="false">IFERROR(IF(INDEX(SearchDB!$E$2:$E$2222,MATCH(19,SearchDB!$L$2:$L$2222,0))=0,"",INDEX(SearchDB!$E$2:$E$2222,MATCH(19,SearchDB!$L$2:$L$2222,0))),"")</f>
        <v/>
      </c>
      <c r="H24" s="23" t="str">
        <f aca="false">IFERROR(IF(INDEX(SearchDB!$F$2:$F$2222,MATCH(19,SearchDB!$L$2:$L$2222,0))=0,"",INDEX(SearchDB!$F$2:$F$2222,MATCH(19,SearchDB!$L$2:$L$2222,0))),"")</f>
        <v/>
      </c>
      <c r="I24" s="23" t="str">
        <f aca="false">IFERROR(IF(INDEX(SearchDB!$G$2:$G$2222,MATCH(19,SearchDB!$L$2:$L$2222,0))=0,"",INDEX(SearchDB!$G$2:$G$2222,MATCH(19,SearchDB!$L$2:$L$2222,0))),"")</f>
        <v/>
      </c>
      <c r="J24" s="23" t="str">
        <f aca="false">IFERROR(IF(INDEX(SearchDB!$H$2:$H$2222,MATCH(19,SearchDB!$L$2:$L$2222,0))=0,"",INDEX(SearchDB!$H$2:$H$2222,MATCH(19,SearchDB!$L$2:$L$2222,0))),"")</f>
        <v/>
      </c>
      <c r="K24" s="24"/>
    </row>
    <row r="25" customFormat="false" ht="19.5" hidden="false" customHeight="true" outlineLevel="0" collapsed="false">
      <c r="A25" s="2"/>
      <c r="B25" s="25" t="n">
        <v>20</v>
      </c>
      <c r="C25" s="26" t="str">
        <f aca="false">IFERROR(INDEX(SearchDB!$A$2:$A$2222,MATCH(20,SearchDB!$L$2:$L$2222,0)),"")</f>
        <v/>
      </c>
      <c r="D25" s="26" t="str">
        <f aca="false">IFERROR(INDEX(SearchDB!$B$2:$B$2222,MATCH(20,SearchDB!$L$2:$L$2222,0)),"")</f>
        <v/>
      </c>
      <c r="E25" s="25" t="str">
        <f aca="false">IFERROR(INDEX(SearchDB!$C$2:$C$2222,MATCH(20,SearchDB!$L$2:$L$2222,0)),"")</f>
        <v/>
      </c>
      <c r="F25" s="26" t="str">
        <f aca="false">IFERROR(IF(INDEX(SearchDB!$D$2:$D$2222,MATCH(20,SearchDB!$L$2:$L$2222,0))=0,"",INDEX(SearchDB!$D$2:$D$2222,MATCH(20,SearchDB!$L$2:$L$2222,0))),"")</f>
        <v/>
      </c>
      <c r="G25" s="26" t="str">
        <f aca="false">IFERROR(IF(INDEX(SearchDB!$E$2:$E$2222,MATCH(20,SearchDB!$L$2:$L$2222,0))=0,"",INDEX(SearchDB!$E$2:$E$2222,MATCH(20,SearchDB!$L$2:$L$2222,0))),"")</f>
        <v/>
      </c>
      <c r="H25" s="26" t="str">
        <f aca="false">IFERROR(IF(INDEX(SearchDB!$F$2:$F$2222,MATCH(20,SearchDB!$L$2:$L$2222,0))=0,"",INDEX(SearchDB!$F$2:$F$2222,MATCH(20,SearchDB!$L$2:$L$2222,0))),"")</f>
        <v/>
      </c>
      <c r="I25" s="26" t="str">
        <f aca="false">IFERROR(IF(INDEX(SearchDB!$G$2:$G$2222,MATCH(20,SearchDB!$L$2:$L$2222,0))=0,"",INDEX(SearchDB!$G$2:$G$2222,MATCH(20,SearchDB!$L$2:$L$2222,0))),"")</f>
        <v/>
      </c>
      <c r="J25" s="26" t="str">
        <f aca="false">IFERROR(IF(INDEX(SearchDB!$H$2:$H$2222,MATCH(20,SearchDB!$L$2:$L$2222,0))=0,"",INDEX(SearchDB!$H$2:$H$2222,MATCH(20,SearchDB!$L$2:$L$2222,0))),"")</f>
        <v/>
      </c>
      <c r="K25" s="24"/>
    </row>
    <row r="26" customFormat="false" ht="19.5" hidden="false" customHeight="true" outlineLevel="0" collapsed="false">
      <c r="A26" s="2"/>
      <c r="B26" s="22" t="n">
        <v>21</v>
      </c>
      <c r="C26" s="23" t="str">
        <f aca="false">IFERROR(INDEX(SearchDB!$A$2:$A$2222,MATCH(21,SearchDB!$L$2:$L$2222,0)),"")</f>
        <v/>
      </c>
      <c r="D26" s="23" t="str">
        <f aca="false">IFERROR(INDEX(SearchDB!$B$2:$B$2222,MATCH(21,SearchDB!$L$2:$L$2222,0)),"")</f>
        <v/>
      </c>
      <c r="E26" s="22" t="str">
        <f aca="false">IFERROR(INDEX(SearchDB!$C$2:$C$2222,MATCH(21,SearchDB!$L$2:$L$2222,0)),"")</f>
        <v/>
      </c>
      <c r="F26" s="23" t="str">
        <f aca="false">IFERROR(IF(INDEX(SearchDB!$D$2:$D$2222,MATCH(21,SearchDB!$L$2:$L$2222,0))=0,"",INDEX(SearchDB!$D$2:$D$2222,MATCH(21,SearchDB!$L$2:$L$2222,0))),"")</f>
        <v/>
      </c>
      <c r="G26" s="23" t="str">
        <f aca="false">IFERROR(IF(INDEX(SearchDB!$E$2:$E$2222,MATCH(21,SearchDB!$L$2:$L$2222,0))=0,"",INDEX(SearchDB!$E$2:$E$2222,MATCH(21,SearchDB!$L$2:$L$2222,0))),"")</f>
        <v/>
      </c>
      <c r="H26" s="23" t="str">
        <f aca="false">IFERROR(IF(INDEX(SearchDB!$F$2:$F$2222,MATCH(21,SearchDB!$L$2:$L$2222,0))=0,"",INDEX(SearchDB!$F$2:$F$2222,MATCH(21,SearchDB!$L$2:$L$2222,0))),"")</f>
        <v/>
      </c>
      <c r="I26" s="23" t="str">
        <f aca="false">IFERROR(IF(INDEX(SearchDB!$G$2:$G$2222,MATCH(21,SearchDB!$L$2:$L$2222,0))=0,"",INDEX(SearchDB!$G$2:$G$2222,MATCH(21,SearchDB!$L$2:$L$2222,0))),"")</f>
        <v/>
      </c>
      <c r="J26" s="23" t="str">
        <f aca="false">IFERROR(IF(INDEX(SearchDB!$H$2:$H$2222,MATCH(21,SearchDB!$L$2:$L$2222,0))=0,"",INDEX(SearchDB!$H$2:$H$2222,MATCH(21,SearchDB!$L$2:$L$2222,0))),"")</f>
        <v/>
      </c>
      <c r="K26" s="24"/>
    </row>
    <row r="27" customFormat="false" ht="19.5" hidden="false" customHeight="true" outlineLevel="0" collapsed="false">
      <c r="A27" s="2"/>
      <c r="B27" s="25" t="n">
        <v>22</v>
      </c>
      <c r="C27" s="26" t="str">
        <f aca="false">IFERROR(INDEX(SearchDB!$A$2:$A$2222,MATCH(22,SearchDB!$L$2:$L$2222,0)),"")</f>
        <v/>
      </c>
      <c r="D27" s="26" t="str">
        <f aca="false">IFERROR(INDEX(SearchDB!$B$2:$B$2222,MATCH(22,SearchDB!$L$2:$L$2222,0)),"")</f>
        <v/>
      </c>
      <c r="E27" s="25" t="str">
        <f aca="false">IFERROR(INDEX(SearchDB!$C$2:$C$2222,MATCH(22,SearchDB!$L$2:$L$2222,0)),"")</f>
        <v/>
      </c>
      <c r="F27" s="26" t="str">
        <f aca="false">IFERROR(IF(INDEX(SearchDB!$D$2:$D$2222,MATCH(22,SearchDB!$L$2:$L$2222,0))=0,"",INDEX(SearchDB!$D$2:$D$2222,MATCH(22,SearchDB!$L$2:$L$2222,0))),"")</f>
        <v/>
      </c>
      <c r="G27" s="26" t="str">
        <f aca="false">IFERROR(IF(INDEX(SearchDB!$E$2:$E$2222,MATCH(22,SearchDB!$L$2:$L$2222,0))=0,"",INDEX(SearchDB!$E$2:$E$2222,MATCH(22,SearchDB!$L$2:$L$2222,0))),"")</f>
        <v/>
      </c>
      <c r="H27" s="26" t="str">
        <f aca="false">IFERROR(IF(INDEX(SearchDB!$F$2:$F$2222,MATCH(22,SearchDB!$L$2:$L$2222,0))=0,"",INDEX(SearchDB!$F$2:$F$2222,MATCH(22,SearchDB!$L$2:$L$2222,0))),"")</f>
        <v/>
      </c>
      <c r="I27" s="26" t="str">
        <f aca="false">IFERROR(IF(INDEX(SearchDB!$G$2:$G$2222,MATCH(22,SearchDB!$L$2:$L$2222,0))=0,"",INDEX(SearchDB!$G$2:$G$2222,MATCH(22,SearchDB!$L$2:$L$2222,0))),"")</f>
        <v/>
      </c>
      <c r="J27" s="26" t="str">
        <f aca="false">IFERROR(IF(INDEX(SearchDB!$H$2:$H$2222,MATCH(22,SearchDB!$L$2:$L$2222,0))=0,"",INDEX(SearchDB!$H$2:$H$2222,MATCH(22,SearchDB!$L$2:$L$2222,0))),"")</f>
        <v/>
      </c>
      <c r="K27" s="24"/>
    </row>
    <row r="28" customFormat="false" ht="19.5" hidden="false" customHeight="true" outlineLevel="0" collapsed="false">
      <c r="A28" s="2"/>
      <c r="B28" s="22" t="n">
        <v>23</v>
      </c>
      <c r="C28" s="23" t="str">
        <f aca="false">IFERROR(INDEX(SearchDB!$A$2:$A$2222,MATCH(23,SearchDB!$L$2:$L$2222,0)),"")</f>
        <v/>
      </c>
      <c r="D28" s="23" t="str">
        <f aca="false">IFERROR(INDEX(SearchDB!$B$2:$B$2222,MATCH(23,SearchDB!$L$2:$L$2222,0)),"")</f>
        <v/>
      </c>
      <c r="E28" s="22" t="str">
        <f aca="false">IFERROR(INDEX(SearchDB!$C$2:$C$2222,MATCH(23,SearchDB!$L$2:$L$2222,0)),"")</f>
        <v/>
      </c>
      <c r="F28" s="23" t="str">
        <f aca="false">IFERROR(IF(INDEX(SearchDB!$D$2:$D$2222,MATCH(23,SearchDB!$L$2:$L$2222,0))=0,"",INDEX(SearchDB!$D$2:$D$2222,MATCH(23,SearchDB!$L$2:$L$2222,0))),"")</f>
        <v/>
      </c>
      <c r="G28" s="23" t="str">
        <f aca="false">IFERROR(IF(INDEX(SearchDB!$E$2:$E$2222,MATCH(23,SearchDB!$L$2:$L$2222,0))=0,"",INDEX(SearchDB!$E$2:$E$2222,MATCH(23,SearchDB!$L$2:$L$2222,0))),"")</f>
        <v/>
      </c>
      <c r="H28" s="23" t="str">
        <f aca="false">IFERROR(IF(INDEX(SearchDB!$F$2:$F$2222,MATCH(23,SearchDB!$L$2:$L$2222,0))=0,"",INDEX(SearchDB!$F$2:$F$2222,MATCH(23,SearchDB!$L$2:$L$2222,0))),"")</f>
        <v/>
      </c>
      <c r="I28" s="23" t="str">
        <f aca="false">IFERROR(IF(INDEX(SearchDB!$G$2:$G$2222,MATCH(23,SearchDB!$L$2:$L$2222,0))=0,"",INDEX(SearchDB!$G$2:$G$2222,MATCH(23,SearchDB!$L$2:$L$2222,0))),"")</f>
        <v/>
      </c>
      <c r="J28" s="23" t="str">
        <f aca="false">IFERROR(IF(INDEX(SearchDB!$H$2:$H$2222,MATCH(23,SearchDB!$L$2:$L$2222,0))=0,"",INDEX(SearchDB!$H$2:$H$2222,MATCH(23,SearchDB!$L$2:$L$2222,0))),"")</f>
        <v/>
      </c>
      <c r="K28" s="24"/>
    </row>
    <row r="29" customFormat="false" ht="19.5" hidden="false" customHeight="true" outlineLevel="0" collapsed="false">
      <c r="A29" s="2"/>
      <c r="B29" s="25" t="n">
        <v>24</v>
      </c>
      <c r="C29" s="26" t="str">
        <f aca="false">IFERROR(INDEX(SearchDB!$A$2:$A$2222,MATCH(24,SearchDB!$L$2:$L$2222,0)),"")</f>
        <v/>
      </c>
      <c r="D29" s="26" t="str">
        <f aca="false">IFERROR(INDEX(SearchDB!$B$2:$B$2222,MATCH(24,SearchDB!$L$2:$L$2222,0)),"")</f>
        <v/>
      </c>
      <c r="E29" s="25" t="str">
        <f aca="false">IFERROR(INDEX(SearchDB!$C$2:$C$2222,MATCH(24,SearchDB!$L$2:$L$2222,0)),"")</f>
        <v/>
      </c>
      <c r="F29" s="26" t="str">
        <f aca="false">IFERROR(IF(INDEX(SearchDB!$D$2:$D$2222,MATCH(24,SearchDB!$L$2:$L$2222,0))=0,"",INDEX(SearchDB!$D$2:$D$2222,MATCH(24,SearchDB!$L$2:$L$2222,0))),"")</f>
        <v/>
      </c>
      <c r="G29" s="26" t="str">
        <f aca="false">IFERROR(IF(INDEX(SearchDB!$E$2:$E$2222,MATCH(24,SearchDB!$L$2:$L$2222,0))=0,"",INDEX(SearchDB!$E$2:$E$2222,MATCH(24,SearchDB!$L$2:$L$2222,0))),"")</f>
        <v/>
      </c>
      <c r="H29" s="26" t="str">
        <f aca="false">IFERROR(IF(INDEX(SearchDB!$F$2:$F$2222,MATCH(24,SearchDB!$L$2:$L$2222,0))=0,"",INDEX(SearchDB!$F$2:$F$2222,MATCH(24,SearchDB!$L$2:$L$2222,0))),"")</f>
        <v/>
      </c>
      <c r="I29" s="26" t="str">
        <f aca="false">IFERROR(IF(INDEX(SearchDB!$G$2:$G$2222,MATCH(24,SearchDB!$L$2:$L$2222,0))=0,"",INDEX(SearchDB!$G$2:$G$2222,MATCH(24,SearchDB!$L$2:$L$2222,0))),"")</f>
        <v/>
      </c>
      <c r="J29" s="26" t="str">
        <f aca="false">IFERROR(IF(INDEX(SearchDB!$H$2:$H$2222,MATCH(24,SearchDB!$L$2:$L$2222,0))=0,"",INDEX(SearchDB!$H$2:$H$2222,MATCH(24,SearchDB!$L$2:$L$2222,0))),"")</f>
        <v/>
      </c>
      <c r="K29" s="24"/>
    </row>
    <row r="30" customFormat="false" ht="19.5" hidden="false" customHeight="true" outlineLevel="0" collapsed="false">
      <c r="A30" s="2"/>
      <c r="B30" s="22" t="n">
        <v>25</v>
      </c>
      <c r="C30" s="23" t="str">
        <f aca="false">IFERROR(INDEX(SearchDB!$A$2:$A$2222,MATCH(25,SearchDB!$L$2:$L$2222,0)),"")</f>
        <v/>
      </c>
      <c r="D30" s="23" t="str">
        <f aca="false">IFERROR(INDEX(SearchDB!$B$2:$B$2222,MATCH(25,SearchDB!$L$2:$L$2222,0)),"")</f>
        <v/>
      </c>
      <c r="E30" s="22" t="str">
        <f aca="false">IFERROR(INDEX(SearchDB!$C$2:$C$2222,MATCH(25,SearchDB!$L$2:$L$2222,0)),"")</f>
        <v/>
      </c>
      <c r="F30" s="23" t="str">
        <f aca="false">IFERROR(IF(INDEX(SearchDB!$D$2:$D$2222,MATCH(25,SearchDB!$L$2:$L$2222,0))=0,"",INDEX(SearchDB!$D$2:$D$2222,MATCH(25,SearchDB!$L$2:$L$2222,0))),"")</f>
        <v/>
      </c>
      <c r="G30" s="23" t="str">
        <f aca="false">IFERROR(IF(INDEX(SearchDB!$E$2:$E$2222,MATCH(25,SearchDB!$L$2:$L$2222,0))=0,"",INDEX(SearchDB!$E$2:$E$2222,MATCH(25,SearchDB!$L$2:$L$2222,0))),"")</f>
        <v/>
      </c>
      <c r="H30" s="23" t="str">
        <f aca="false">IFERROR(IF(INDEX(SearchDB!$F$2:$F$2222,MATCH(25,SearchDB!$L$2:$L$2222,0))=0,"",INDEX(SearchDB!$F$2:$F$2222,MATCH(25,SearchDB!$L$2:$L$2222,0))),"")</f>
        <v/>
      </c>
      <c r="I30" s="23" t="str">
        <f aca="false">IFERROR(IF(INDEX(SearchDB!$G$2:$G$2222,MATCH(25,SearchDB!$L$2:$L$2222,0))=0,"",INDEX(SearchDB!$G$2:$G$2222,MATCH(25,SearchDB!$L$2:$L$2222,0))),"")</f>
        <v/>
      </c>
      <c r="J30" s="23" t="str">
        <f aca="false">IFERROR(IF(INDEX(SearchDB!$H$2:$H$2222,MATCH(25,SearchDB!$L$2:$L$2222,0))=0,"",INDEX(SearchDB!$H$2:$H$2222,MATCH(25,SearchDB!$L$2:$L$2222,0))),"")</f>
        <v/>
      </c>
      <c r="K30" s="24"/>
    </row>
    <row r="31" customFormat="false" ht="19.5" hidden="false" customHeight="true" outlineLevel="0" collapsed="false">
      <c r="A31" s="2"/>
      <c r="B31" s="25" t="n">
        <v>26</v>
      </c>
      <c r="C31" s="26" t="str">
        <f aca="false">IFERROR(INDEX(SearchDB!$A$2:$A$2222,MATCH(26,SearchDB!$L$2:$L$2222,0)),"")</f>
        <v/>
      </c>
      <c r="D31" s="26" t="str">
        <f aca="false">IFERROR(INDEX(SearchDB!$B$2:$B$2222,MATCH(26,SearchDB!$L$2:$L$2222,0)),"")</f>
        <v/>
      </c>
      <c r="E31" s="25" t="str">
        <f aca="false">IFERROR(INDEX(SearchDB!$C$2:$C$2222,MATCH(26,SearchDB!$L$2:$L$2222,0)),"")</f>
        <v/>
      </c>
      <c r="F31" s="26" t="str">
        <f aca="false">IFERROR(IF(INDEX(SearchDB!$D$2:$D$2222,MATCH(26,SearchDB!$L$2:$L$2222,0))=0,"",INDEX(SearchDB!$D$2:$D$2222,MATCH(26,SearchDB!$L$2:$L$2222,0))),"")</f>
        <v/>
      </c>
      <c r="G31" s="26" t="str">
        <f aca="false">IFERROR(IF(INDEX(SearchDB!$E$2:$E$2222,MATCH(26,SearchDB!$L$2:$L$2222,0))=0,"",INDEX(SearchDB!$E$2:$E$2222,MATCH(26,SearchDB!$L$2:$L$2222,0))),"")</f>
        <v/>
      </c>
      <c r="H31" s="26" t="str">
        <f aca="false">IFERROR(IF(INDEX(SearchDB!$F$2:$F$2222,MATCH(26,SearchDB!$L$2:$L$2222,0))=0,"",INDEX(SearchDB!$F$2:$F$2222,MATCH(26,SearchDB!$L$2:$L$2222,0))),"")</f>
        <v/>
      </c>
      <c r="I31" s="26" t="str">
        <f aca="false">IFERROR(IF(INDEX(SearchDB!$G$2:$G$2222,MATCH(26,SearchDB!$L$2:$L$2222,0))=0,"",INDEX(SearchDB!$G$2:$G$2222,MATCH(26,SearchDB!$L$2:$L$2222,0))),"")</f>
        <v/>
      </c>
      <c r="J31" s="26" t="str">
        <f aca="false">IFERROR(IF(INDEX(SearchDB!$H$2:$H$2222,MATCH(26,SearchDB!$L$2:$L$2222,0))=0,"",INDEX(SearchDB!$H$2:$H$2222,MATCH(26,SearchDB!$L$2:$L$2222,0))),"")</f>
        <v/>
      </c>
      <c r="K31" s="24"/>
    </row>
    <row r="32" customFormat="false" ht="19.5" hidden="false" customHeight="true" outlineLevel="0" collapsed="false">
      <c r="A32" s="2"/>
      <c r="B32" s="22" t="n">
        <v>27</v>
      </c>
      <c r="C32" s="23" t="str">
        <f aca="false">IFERROR(INDEX(SearchDB!$A$2:$A$2222,MATCH(27,SearchDB!$L$2:$L$2222,0)),"")</f>
        <v/>
      </c>
      <c r="D32" s="23" t="str">
        <f aca="false">IFERROR(INDEX(SearchDB!$B$2:$B$2222,MATCH(27,SearchDB!$L$2:$L$2222,0)),"")</f>
        <v/>
      </c>
      <c r="E32" s="22" t="str">
        <f aca="false">IFERROR(INDEX(SearchDB!$C$2:$C$2222,MATCH(27,SearchDB!$L$2:$L$2222,0)),"")</f>
        <v/>
      </c>
      <c r="F32" s="23" t="str">
        <f aca="false">IFERROR(IF(INDEX(SearchDB!$D$2:$D$2222,MATCH(27,SearchDB!$L$2:$L$2222,0))=0,"",INDEX(SearchDB!$D$2:$D$2222,MATCH(27,SearchDB!$L$2:$L$2222,0))),"")</f>
        <v/>
      </c>
      <c r="G32" s="23" t="str">
        <f aca="false">IFERROR(IF(INDEX(SearchDB!$E$2:$E$2222,MATCH(27,SearchDB!$L$2:$L$2222,0))=0,"",INDEX(SearchDB!$E$2:$E$2222,MATCH(27,SearchDB!$L$2:$L$2222,0))),"")</f>
        <v/>
      </c>
      <c r="H32" s="23" t="str">
        <f aca="false">IFERROR(IF(INDEX(SearchDB!$F$2:$F$2222,MATCH(27,SearchDB!$L$2:$L$2222,0))=0,"",INDEX(SearchDB!$F$2:$F$2222,MATCH(27,SearchDB!$L$2:$L$2222,0))),"")</f>
        <v/>
      </c>
      <c r="I32" s="23" t="str">
        <f aca="false">IFERROR(IF(INDEX(SearchDB!$G$2:$G$2222,MATCH(27,SearchDB!$L$2:$L$2222,0))=0,"",INDEX(SearchDB!$G$2:$G$2222,MATCH(27,SearchDB!$L$2:$L$2222,0))),"")</f>
        <v/>
      </c>
      <c r="J32" s="23" t="str">
        <f aca="false">IFERROR(IF(INDEX(SearchDB!$H$2:$H$2222,MATCH(27,SearchDB!$L$2:$L$2222,0))=0,"",INDEX(SearchDB!$H$2:$H$2222,MATCH(27,SearchDB!$L$2:$L$2222,0))),"")</f>
        <v/>
      </c>
      <c r="K32" s="24"/>
    </row>
    <row r="33" customFormat="false" ht="19.5" hidden="false" customHeight="true" outlineLevel="0" collapsed="false">
      <c r="A33" s="2"/>
      <c r="B33" s="25" t="n">
        <v>28</v>
      </c>
      <c r="C33" s="26" t="str">
        <f aca="false">IFERROR(INDEX(SearchDB!$A$2:$A$2222,MATCH(28,SearchDB!$L$2:$L$2222,0)),"")</f>
        <v/>
      </c>
      <c r="D33" s="26" t="str">
        <f aca="false">IFERROR(INDEX(SearchDB!$B$2:$B$2222,MATCH(28,SearchDB!$L$2:$L$2222,0)),"")</f>
        <v/>
      </c>
      <c r="E33" s="25" t="str">
        <f aca="false">IFERROR(INDEX(SearchDB!$C$2:$C$2222,MATCH(28,SearchDB!$L$2:$L$2222,0)),"")</f>
        <v/>
      </c>
      <c r="F33" s="26" t="str">
        <f aca="false">IFERROR(IF(INDEX(SearchDB!$D$2:$D$2222,MATCH(28,SearchDB!$L$2:$L$2222,0))=0,"",INDEX(SearchDB!$D$2:$D$2222,MATCH(28,SearchDB!$L$2:$L$2222,0))),"")</f>
        <v/>
      </c>
      <c r="G33" s="26" t="str">
        <f aca="false">IFERROR(IF(INDEX(SearchDB!$E$2:$E$2222,MATCH(28,SearchDB!$L$2:$L$2222,0))=0,"",INDEX(SearchDB!$E$2:$E$2222,MATCH(28,SearchDB!$L$2:$L$2222,0))),"")</f>
        <v/>
      </c>
      <c r="H33" s="26" t="str">
        <f aca="false">IFERROR(IF(INDEX(SearchDB!$F$2:$F$2222,MATCH(28,SearchDB!$L$2:$L$2222,0))=0,"",INDEX(SearchDB!$F$2:$F$2222,MATCH(28,SearchDB!$L$2:$L$2222,0))),"")</f>
        <v/>
      </c>
      <c r="I33" s="26" t="str">
        <f aca="false">IFERROR(IF(INDEX(SearchDB!$G$2:$G$2222,MATCH(28,SearchDB!$L$2:$L$2222,0))=0,"",INDEX(SearchDB!$G$2:$G$2222,MATCH(28,SearchDB!$L$2:$L$2222,0))),"")</f>
        <v/>
      </c>
      <c r="J33" s="26" t="str">
        <f aca="false">IFERROR(IF(INDEX(SearchDB!$H$2:$H$2222,MATCH(28,SearchDB!$L$2:$L$2222,0))=0,"",INDEX(SearchDB!$H$2:$H$2222,MATCH(28,SearchDB!$L$2:$L$2222,0))),"")</f>
        <v/>
      </c>
      <c r="K33" s="24"/>
    </row>
    <row r="34" customFormat="false" ht="19.5" hidden="false" customHeight="true" outlineLevel="0" collapsed="false">
      <c r="A34" s="2"/>
      <c r="B34" s="22" t="n">
        <v>29</v>
      </c>
      <c r="C34" s="23" t="str">
        <f aca="false">IFERROR(INDEX(SearchDB!$A$2:$A$2222,MATCH(29,SearchDB!$L$2:$L$2222,0)),"")</f>
        <v/>
      </c>
      <c r="D34" s="23" t="str">
        <f aca="false">IFERROR(INDEX(SearchDB!$B$2:$B$2222,MATCH(29,SearchDB!$L$2:$L$2222,0)),"")</f>
        <v/>
      </c>
      <c r="E34" s="22" t="str">
        <f aca="false">IFERROR(INDEX(SearchDB!$C$2:$C$2222,MATCH(29,SearchDB!$L$2:$L$2222,0)),"")</f>
        <v/>
      </c>
      <c r="F34" s="23" t="str">
        <f aca="false">IFERROR(IF(INDEX(SearchDB!$D$2:$D$2222,MATCH(29,SearchDB!$L$2:$L$2222,0))=0,"",INDEX(SearchDB!$D$2:$D$2222,MATCH(29,SearchDB!$L$2:$L$2222,0))),"")</f>
        <v/>
      </c>
      <c r="G34" s="23" t="str">
        <f aca="false">IFERROR(IF(INDEX(SearchDB!$E$2:$E$2222,MATCH(29,SearchDB!$L$2:$L$2222,0))=0,"",INDEX(SearchDB!$E$2:$E$2222,MATCH(29,SearchDB!$L$2:$L$2222,0))),"")</f>
        <v/>
      </c>
      <c r="H34" s="23" t="str">
        <f aca="false">IFERROR(IF(INDEX(SearchDB!$F$2:$F$2222,MATCH(29,SearchDB!$L$2:$L$2222,0))=0,"",INDEX(SearchDB!$F$2:$F$2222,MATCH(29,SearchDB!$L$2:$L$2222,0))),"")</f>
        <v/>
      </c>
      <c r="I34" s="23" t="str">
        <f aca="false">IFERROR(IF(INDEX(SearchDB!$G$2:$G$2222,MATCH(29,SearchDB!$L$2:$L$2222,0))=0,"",INDEX(SearchDB!$G$2:$G$2222,MATCH(29,SearchDB!$L$2:$L$2222,0))),"")</f>
        <v/>
      </c>
      <c r="J34" s="23" t="str">
        <f aca="false">IFERROR(IF(INDEX(SearchDB!$H$2:$H$2222,MATCH(29,SearchDB!$L$2:$L$2222,0))=0,"",INDEX(SearchDB!$H$2:$H$2222,MATCH(29,SearchDB!$L$2:$L$2222,0))),"")</f>
        <v/>
      </c>
      <c r="K34" s="24"/>
    </row>
    <row r="35" customFormat="false" ht="19.5" hidden="false" customHeight="true" outlineLevel="0" collapsed="false">
      <c r="A35" s="2"/>
      <c r="B35" s="25" t="n">
        <v>30</v>
      </c>
      <c r="C35" s="26" t="str">
        <f aca="false">IFERROR(INDEX(SearchDB!$A$2:$A$2222,MATCH(30,SearchDB!$L$2:$L$2222,0)),"")</f>
        <v/>
      </c>
      <c r="D35" s="26" t="str">
        <f aca="false">IFERROR(INDEX(SearchDB!$B$2:$B$2222,MATCH(30,SearchDB!$L$2:$L$2222,0)),"")</f>
        <v/>
      </c>
      <c r="E35" s="25" t="str">
        <f aca="false">IFERROR(INDEX(SearchDB!$C$2:$C$2222,MATCH(30,SearchDB!$L$2:$L$2222,0)),"")</f>
        <v/>
      </c>
      <c r="F35" s="26" t="str">
        <f aca="false">IFERROR(IF(INDEX(SearchDB!$D$2:$D$2222,MATCH(30,SearchDB!$L$2:$L$2222,0))=0,"",INDEX(SearchDB!$D$2:$D$2222,MATCH(30,SearchDB!$L$2:$L$2222,0))),"")</f>
        <v/>
      </c>
      <c r="G35" s="26" t="str">
        <f aca="false">IFERROR(IF(INDEX(SearchDB!$E$2:$E$2222,MATCH(30,SearchDB!$L$2:$L$2222,0))=0,"",INDEX(SearchDB!$E$2:$E$2222,MATCH(30,SearchDB!$L$2:$L$2222,0))),"")</f>
        <v/>
      </c>
      <c r="H35" s="26" t="str">
        <f aca="false">IFERROR(IF(INDEX(SearchDB!$F$2:$F$2222,MATCH(30,SearchDB!$L$2:$L$2222,0))=0,"",INDEX(SearchDB!$F$2:$F$2222,MATCH(30,SearchDB!$L$2:$L$2222,0))),"")</f>
        <v/>
      </c>
      <c r="I35" s="26" t="str">
        <f aca="false">IFERROR(IF(INDEX(SearchDB!$G$2:$G$2222,MATCH(30,SearchDB!$L$2:$L$2222,0))=0,"",INDEX(SearchDB!$G$2:$G$2222,MATCH(30,SearchDB!$L$2:$L$2222,0))),"")</f>
        <v/>
      </c>
      <c r="J35" s="26" t="str">
        <f aca="false">IFERROR(IF(INDEX(SearchDB!$H$2:$H$2222,MATCH(30,SearchDB!$L$2:$L$2222,0))=0,"",INDEX(SearchDB!$H$2:$H$2222,MATCH(30,SearchDB!$L$2:$L$2222,0))),"")</f>
        <v/>
      </c>
      <c r="K35" s="24"/>
    </row>
    <row r="36" customFormat="false" ht="19.5" hidden="false" customHeight="true" outlineLevel="0" collapsed="false">
      <c r="A36" s="2"/>
      <c r="B36" s="22" t="n">
        <v>31</v>
      </c>
      <c r="C36" s="23" t="str">
        <f aca="false">IFERROR(INDEX(SearchDB!$A$2:$A$2222,MATCH(31,SearchDB!$L$2:$L$2222,0)),"")</f>
        <v/>
      </c>
      <c r="D36" s="23" t="str">
        <f aca="false">IFERROR(INDEX(SearchDB!$B$2:$B$2222,MATCH(31,SearchDB!$L$2:$L$2222,0)),"")</f>
        <v/>
      </c>
      <c r="E36" s="22" t="str">
        <f aca="false">IFERROR(INDEX(SearchDB!$C$2:$C$2222,MATCH(31,SearchDB!$L$2:$L$2222,0)),"")</f>
        <v/>
      </c>
      <c r="F36" s="23" t="str">
        <f aca="false">IFERROR(IF(INDEX(SearchDB!$D$2:$D$2222,MATCH(31,SearchDB!$L$2:$L$2222,0))=0,"",INDEX(SearchDB!$D$2:$D$2222,MATCH(31,SearchDB!$L$2:$L$2222,0))),"")</f>
        <v/>
      </c>
      <c r="G36" s="23" t="str">
        <f aca="false">IFERROR(IF(INDEX(SearchDB!$E$2:$E$2222,MATCH(31,SearchDB!$L$2:$L$2222,0))=0,"",INDEX(SearchDB!$E$2:$E$2222,MATCH(31,SearchDB!$L$2:$L$2222,0))),"")</f>
        <v/>
      </c>
      <c r="H36" s="23" t="str">
        <f aca="false">IFERROR(IF(INDEX(SearchDB!$F$2:$F$2222,MATCH(31,SearchDB!$L$2:$L$2222,0))=0,"",INDEX(SearchDB!$F$2:$F$2222,MATCH(31,SearchDB!$L$2:$L$2222,0))),"")</f>
        <v/>
      </c>
      <c r="I36" s="23" t="str">
        <f aca="false">IFERROR(IF(INDEX(SearchDB!$G$2:$G$2222,MATCH(31,SearchDB!$L$2:$L$2222,0))=0,"",INDEX(SearchDB!$G$2:$G$2222,MATCH(31,SearchDB!$L$2:$L$2222,0))),"")</f>
        <v/>
      </c>
      <c r="J36" s="23" t="str">
        <f aca="false">IFERROR(IF(INDEX(SearchDB!$H$2:$H$2222,MATCH(31,SearchDB!$L$2:$L$2222,0))=0,"",INDEX(SearchDB!$H$2:$H$2222,MATCH(31,SearchDB!$L$2:$L$2222,0))),"")</f>
        <v/>
      </c>
      <c r="K36" s="24"/>
    </row>
    <row r="37" customFormat="false" ht="19.5" hidden="false" customHeight="true" outlineLevel="0" collapsed="false">
      <c r="A37" s="2"/>
      <c r="B37" s="25" t="n">
        <v>32</v>
      </c>
      <c r="C37" s="26" t="str">
        <f aca="false">IFERROR(INDEX(SearchDB!$A$2:$A$2222,MATCH(32,SearchDB!$L$2:$L$2222,0)),"")</f>
        <v/>
      </c>
      <c r="D37" s="26" t="str">
        <f aca="false">IFERROR(INDEX(SearchDB!$B$2:$B$2222,MATCH(32,SearchDB!$L$2:$L$2222,0)),"")</f>
        <v/>
      </c>
      <c r="E37" s="25" t="str">
        <f aca="false">IFERROR(INDEX(SearchDB!$C$2:$C$2222,MATCH(32,SearchDB!$L$2:$L$2222,0)),"")</f>
        <v/>
      </c>
      <c r="F37" s="26" t="str">
        <f aca="false">IFERROR(IF(INDEX(SearchDB!$D$2:$D$2222,MATCH(32,SearchDB!$L$2:$L$2222,0))=0,"",INDEX(SearchDB!$D$2:$D$2222,MATCH(32,SearchDB!$L$2:$L$2222,0))),"")</f>
        <v/>
      </c>
      <c r="G37" s="26" t="str">
        <f aca="false">IFERROR(IF(INDEX(SearchDB!$E$2:$E$2222,MATCH(32,SearchDB!$L$2:$L$2222,0))=0,"",INDEX(SearchDB!$E$2:$E$2222,MATCH(32,SearchDB!$L$2:$L$2222,0))),"")</f>
        <v/>
      </c>
      <c r="H37" s="26" t="str">
        <f aca="false">IFERROR(IF(INDEX(SearchDB!$F$2:$F$2222,MATCH(32,SearchDB!$L$2:$L$2222,0))=0,"",INDEX(SearchDB!$F$2:$F$2222,MATCH(32,SearchDB!$L$2:$L$2222,0))),"")</f>
        <v/>
      </c>
      <c r="I37" s="26" t="str">
        <f aca="false">IFERROR(IF(INDEX(SearchDB!$G$2:$G$2222,MATCH(32,SearchDB!$L$2:$L$2222,0))=0,"",INDEX(SearchDB!$G$2:$G$2222,MATCH(32,SearchDB!$L$2:$L$2222,0))),"")</f>
        <v/>
      </c>
      <c r="J37" s="26" t="str">
        <f aca="false">IFERROR(IF(INDEX(SearchDB!$H$2:$H$2222,MATCH(32,SearchDB!$L$2:$L$2222,0))=0,"",INDEX(SearchDB!$H$2:$H$2222,MATCH(32,SearchDB!$L$2:$L$2222,0))),"")</f>
        <v/>
      </c>
      <c r="K37" s="24"/>
    </row>
    <row r="38" customFormat="false" ht="19.5" hidden="false" customHeight="true" outlineLevel="0" collapsed="false">
      <c r="A38" s="2"/>
      <c r="B38" s="22" t="n">
        <v>33</v>
      </c>
      <c r="C38" s="23" t="str">
        <f aca="false">IFERROR(INDEX(SearchDB!$A$2:$A$2222,MATCH(33,SearchDB!$L$2:$L$2222,0)),"")</f>
        <v/>
      </c>
      <c r="D38" s="23" t="str">
        <f aca="false">IFERROR(INDEX(SearchDB!$B$2:$B$2222,MATCH(33,SearchDB!$L$2:$L$2222,0)),"")</f>
        <v/>
      </c>
      <c r="E38" s="22" t="str">
        <f aca="false">IFERROR(INDEX(SearchDB!$C$2:$C$2222,MATCH(33,SearchDB!$L$2:$L$2222,0)),"")</f>
        <v/>
      </c>
      <c r="F38" s="23" t="str">
        <f aca="false">IFERROR(IF(INDEX(SearchDB!$D$2:$D$2222,MATCH(33,SearchDB!$L$2:$L$2222,0))=0,"",INDEX(SearchDB!$D$2:$D$2222,MATCH(33,SearchDB!$L$2:$L$2222,0))),"")</f>
        <v/>
      </c>
      <c r="G38" s="23" t="str">
        <f aca="false">IFERROR(IF(INDEX(SearchDB!$E$2:$E$2222,MATCH(33,SearchDB!$L$2:$L$2222,0))=0,"",INDEX(SearchDB!$E$2:$E$2222,MATCH(33,SearchDB!$L$2:$L$2222,0))),"")</f>
        <v/>
      </c>
      <c r="H38" s="23" t="str">
        <f aca="false">IFERROR(IF(INDEX(SearchDB!$F$2:$F$2222,MATCH(33,SearchDB!$L$2:$L$2222,0))=0,"",INDEX(SearchDB!$F$2:$F$2222,MATCH(33,SearchDB!$L$2:$L$2222,0))),"")</f>
        <v/>
      </c>
      <c r="I38" s="23" t="str">
        <f aca="false">IFERROR(IF(INDEX(SearchDB!$G$2:$G$2222,MATCH(33,SearchDB!$L$2:$L$2222,0))=0,"",INDEX(SearchDB!$G$2:$G$2222,MATCH(33,SearchDB!$L$2:$L$2222,0))),"")</f>
        <v/>
      </c>
      <c r="J38" s="23" t="str">
        <f aca="false">IFERROR(IF(INDEX(SearchDB!$H$2:$H$2222,MATCH(33,SearchDB!$L$2:$L$2222,0))=0,"",INDEX(SearchDB!$H$2:$H$2222,MATCH(33,SearchDB!$L$2:$L$2222,0))),"")</f>
        <v/>
      </c>
      <c r="K38" s="24"/>
    </row>
    <row r="39" customFormat="false" ht="19.5" hidden="false" customHeight="true" outlineLevel="0" collapsed="false">
      <c r="A39" s="2"/>
      <c r="B39" s="25" t="n">
        <v>34</v>
      </c>
      <c r="C39" s="26" t="str">
        <f aca="false">IFERROR(INDEX(SearchDB!$A$2:$A$2222,MATCH(34,SearchDB!$L$2:$L$2222,0)),"")</f>
        <v/>
      </c>
      <c r="D39" s="26" t="str">
        <f aca="false">IFERROR(INDEX(SearchDB!$B$2:$B$2222,MATCH(34,SearchDB!$L$2:$L$2222,0)),"")</f>
        <v/>
      </c>
      <c r="E39" s="25" t="str">
        <f aca="false">IFERROR(INDEX(SearchDB!$C$2:$C$2222,MATCH(34,SearchDB!$L$2:$L$2222,0)),"")</f>
        <v/>
      </c>
      <c r="F39" s="26" t="str">
        <f aca="false">IFERROR(IF(INDEX(SearchDB!$D$2:$D$2222,MATCH(34,SearchDB!$L$2:$L$2222,0))=0,"",INDEX(SearchDB!$D$2:$D$2222,MATCH(34,SearchDB!$L$2:$L$2222,0))),"")</f>
        <v/>
      </c>
      <c r="G39" s="26" t="str">
        <f aca="false">IFERROR(IF(INDEX(SearchDB!$E$2:$E$2222,MATCH(34,SearchDB!$L$2:$L$2222,0))=0,"",INDEX(SearchDB!$E$2:$E$2222,MATCH(34,SearchDB!$L$2:$L$2222,0))),"")</f>
        <v/>
      </c>
      <c r="H39" s="26" t="str">
        <f aca="false">IFERROR(IF(INDEX(SearchDB!$F$2:$F$2222,MATCH(34,SearchDB!$L$2:$L$2222,0))=0,"",INDEX(SearchDB!$F$2:$F$2222,MATCH(34,SearchDB!$L$2:$L$2222,0))),"")</f>
        <v/>
      </c>
      <c r="I39" s="26" t="str">
        <f aca="false">IFERROR(IF(INDEX(SearchDB!$G$2:$G$2222,MATCH(34,SearchDB!$L$2:$L$2222,0))=0,"",INDEX(SearchDB!$G$2:$G$2222,MATCH(34,SearchDB!$L$2:$L$2222,0))),"")</f>
        <v/>
      </c>
      <c r="J39" s="26" t="str">
        <f aca="false">IFERROR(IF(INDEX(SearchDB!$H$2:$H$2222,MATCH(34,SearchDB!$L$2:$L$2222,0))=0,"",INDEX(SearchDB!$H$2:$H$2222,MATCH(34,SearchDB!$L$2:$L$2222,0))),"")</f>
        <v/>
      </c>
      <c r="K39" s="24"/>
    </row>
    <row r="40" customFormat="false" ht="19.5" hidden="false" customHeight="true" outlineLevel="0" collapsed="false">
      <c r="A40" s="2"/>
      <c r="B40" s="22" t="n">
        <v>35</v>
      </c>
      <c r="C40" s="23" t="str">
        <f aca="false">IFERROR(INDEX(SearchDB!$A$2:$A$2222,MATCH(35,SearchDB!$L$2:$L$2222,0)),"")</f>
        <v/>
      </c>
      <c r="D40" s="23" t="str">
        <f aca="false">IFERROR(INDEX(SearchDB!$B$2:$B$2222,MATCH(35,SearchDB!$L$2:$L$2222,0)),"")</f>
        <v/>
      </c>
      <c r="E40" s="22" t="str">
        <f aca="false">IFERROR(INDEX(SearchDB!$C$2:$C$2222,MATCH(35,SearchDB!$L$2:$L$2222,0)),"")</f>
        <v/>
      </c>
      <c r="F40" s="23" t="str">
        <f aca="false">IFERROR(IF(INDEX(SearchDB!$D$2:$D$2222,MATCH(35,SearchDB!$L$2:$L$2222,0))=0,"",INDEX(SearchDB!$D$2:$D$2222,MATCH(35,SearchDB!$L$2:$L$2222,0))),"")</f>
        <v/>
      </c>
      <c r="G40" s="23" t="str">
        <f aca="false">IFERROR(IF(INDEX(SearchDB!$E$2:$E$2222,MATCH(35,SearchDB!$L$2:$L$2222,0))=0,"",INDEX(SearchDB!$E$2:$E$2222,MATCH(35,SearchDB!$L$2:$L$2222,0))),"")</f>
        <v/>
      </c>
      <c r="H40" s="23" t="str">
        <f aca="false">IFERROR(IF(INDEX(SearchDB!$F$2:$F$2222,MATCH(35,SearchDB!$L$2:$L$2222,0))=0,"",INDEX(SearchDB!$F$2:$F$2222,MATCH(35,SearchDB!$L$2:$L$2222,0))),"")</f>
        <v/>
      </c>
      <c r="I40" s="23" t="str">
        <f aca="false">IFERROR(IF(INDEX(SearchDB!$G$2:$G$2222,MATCH(35,SearchDB!$L$2:$L$2222,0))=0,"",INDEX(SearchDB!$G$2:$G$2222,MATCH(35,SearchDB!$L$2:$L$2222,0))),"")</f>
        <v/>
      </c>
      <c r="J40" s="23" t="str">
        <f aca="false">IFERROR(IF(INDEX(SearchDB!$H$2:$H$2222,MATCH(35,SearchDB!$L$2:$L$2222,0))=0,"",INDEX(SearchDB!$H$2:$H$2222,MATCH(35,SearchDB!$L$2:$L$2222,0))),"")</f>
        <v/>
      </c>
      <c r="K40" s="24"/>
    </row>
    <row r="41" customFormat="false" ht="19.5" hidden="false" customHeight="true" outlineLevel="0" collapsed="false">
      <c r="A41" s="2"/>
      <c r="B41" s="25" t="n">
        <v>36</v>
      </c>
      <c r="C41" s="26" t="str">
        <f aca="false">IFERROR(INDEX(SearchDB!$A$2:$A$2222,MATCH(36,SearchDB!$L$2:$L$2222,0)),"")</f>
        <v/>
      </c>
      <c r="D41" s="26" t="str">
        <f aca="false">IFERROR(INDEX(SearchDB!$B$2:$B$2222,MATCH(36,SearchDB!$L$2:$L$2222,0)),"")</f>
        <v/>
      </c>
      <c r="E41" s="25" t="str">
        <f aca="false">IFERROR(INDEX(SearchDB!$C$2:$C$2222,MATCH(36,SearchDB!$L$2:$L$2222,0)),"")</f>
        <v/>
      </c>
      <c r="F41" s="26" t="str">
        <f aca="false">IFERROR(IF(INDEX(SearchDB!$D$2:$D$2222,MATCH(36,SearchDB!$L$2:$L$2222,0))=0,"",INDEX(SearchDB!$D$2:$D$2222,MATCH(36,SearchDB!$L$2:$L$2222,0))),"")</f>
        <v/>
      </c>
      <c r="G41" s="26" t="str">
        <f aca="false">IFERROR(IF(INDEX(SearchDB!$E$2:$E$2222,MATCH(36,SearchDB!$L$2:$L$2222,0))=0,"",INDEX(SearchDB!$E$2:$E$2222,MATCH(36,SearchDB!$L$2:$L$2222,0))),"")</f>
        <v/>
      </c>
      <c r="H41" s="26" t="str">
        <f aca="false">IFERROR(IF(INDEX(SearchDB!$F$2:$F$2222,MATCH(36,SearchDB!$L$2:$L$2222,0))=0,"",INDEX(SearchDB!$F$2:$F$2222,MATCH(36,SearchDB!$L$2:$L$2222,0))),"")</f>
        <v/>
      </c>
      <c r="I41" s="26" t="str">
        <f aca="false">IFERROR(IF(INDEX(SearchDB!$G$2:$G$2222,MATCH(36,SearchDB!$L$2:$L$2222,0))=0,"",INDEX(SearchDB!$G$2:$G$2222,MATCH(36,SearchDB!$L$2:$L$2222,0))),"")</f>
        <v/>
      </c>
      <c r="J41" s="26" t="str">
        <f aca="false">IFERROR(IF(INDEX(SearchDB!$H$2:$H$2222,MATCH(36,SearchDB!$L$2:$L$2222,0))=0,"",INDEX(SearchDB!$H$2:$H$2222,MATCH(36,SearchDB!$L$2:$L$2222,0))),"")</f>
        <v/>
      </c>
      <c r="K41" s="24"/>
    </row>
    <row r="42" customFormat="false" ht="19.5" hidden="false" customHeight="true" outlineLevel="0" collapsed="false">
      <c r="A42" s="2"/>
      <c r="B42" s="22" t="n">
        <v>37</v>
      </c>
      <c r="C42" s="23" t="str">
        <f aca="false">IFERROR(INDEX(SearchDB!$A$2:$A$2222,MATCH(37,SearchDB!$L$2:$L$2222,0)),"")</f>
        <v/>
      </c>
      <c r="D42" s="23" t="str">
        <f aca="false">IFERROR(INDEX(SearchDB!$B$2:$B$2222,MATCH(37,SearchDB!$L$2:$L$2222,0)),"")</f>
        <v/>
      </c>
      <c r="E42" s="22" t="str">
        <f aca="false">IFERROR(INDEX(SearchDB!$C$2:$C$2222,MATCH(37,SearchDB!$L$2:$L$2222,0)),"")</f>
        <v/>
      </c>
      <c r="F42" s="23" t="str">
        <f aca="false">IFERROR(IF(INDEX(SearchDB!$D$2:$D$2222,MATCH(37,SearchDB!$L$2:$L$2222,0))=0,"",INDEX(SearchDB!$D$2:$D$2222,MATCH(37,SearchDB!$L$2:$L$2222,0))),"")</f>
        <v/>
      </c>
      <c r="G42" s="23" t="str">
        <f aca="false">IFERROR(IF(INDEX(SearchDB!$E$2:$E$2222,MATCH(37,SearchDB!$L$2:$L$2222,0))=0,"",INDEX(SearchDB!$E$2:$E$2222,MATCH(37,SearchDB!$L$2:$L$2222,0))),"")</f>
        <v/>
      </c>
      <c r="H42" s="23" t="str">
        <f aca="false">IFERROR(IF(INDEX(SearchDB!$F$2:$F$2222,MATCH(37,SearchDB!$L$2:$L$2222,0))=0,"",INDEX(SearchDB!$F$2:$F$2222,MATCH(37,SearchDB!$L$2:$L$2222,0))),"")</f>
        <v/>
      </c>
      <c r="I42" s="23" t="str">
        <f aca="false">IFERROR(IF(INDEX(SearchDB!$G$2:$G$2222,MATCH(37,SearchDB!$L$2:$L$2222,0))=0,"",INDEX(SearchDB!$G$2:$G$2222,MATCH(37,SearchDB!$L$2:$L$2222,0))),"")</f>
        <v/>
      </c>
      <c r="J42" s="23" t="str">
        <f aca="false">IFERROR(IF(INDEX(SearchDB!$H$2:$H$2222,MATCH(37,SearchDB!$L$2:$L$2222,0))=0,"",INDEX(SearchDB!$H$2:$H$2222,MATCH(37,SearchDB!$L$2:$L$2222,0))),"")</f>
        <v/>
      </c>
      <c r="K42" s="24"/>
    </row>
    <row r="43" customFormat="false" ht="19.5" hidden="false" customHeight="true" outlineLevel="0" collapsed="false">
      <c r="A43" s="2"/>
      <c r="B43" s="25" t="n">
        <v>38</v>
      </c>
      <c r="C43" s="26" t="str">
        <f aca="false">IFERROR(INDEX(SearchDB!$A$2:$A$2222,MATCH(38,SearchDB!$L$2:$L$2222,0)),"")</f>
        <v/>
      </c>
      <c r="D43" s="26" t="str">
        <f aca="false">IFERROR(INDEX(SearchDB!$B$2:$B$2222,MATCH(38,SearchDB!$L$2:$L$2222,0)),"")</f>
        <v/>
      </c>
      <c r="E43" s="25" t="str">
        <f aca="false">IFERROR(INDEX(SearchDB!$C$2:$C$2222,MATCH(38,SearchDB!$L$2:$L$2222,0)),"")</f>
        <v/>
      </c>
      <c r="F43" s="26" t="str">
        <f aca="false">IFERROR(IF(INDEX(SearchDB!$D$2:$D$2222,MATCH(38,SearchDB!$L$2:$L$2222,0))=0,"",INDEX(SearchDB!$D$2:$D$2222,MATCH(38,SearchDB!$L$2:$L$2222,0))),"")</f>
        <v/>
      </c>
      <c r="G43" s="26" t="str">
        <f aca="false">IFERROR(IF(INDEX(SearchDB!$E$2:$E$2222,MATCH(38,SearchDB!$L$2:$L$2222,0))=0,"",INDEX(SearchDB!$E$2:$E$2222,MATCH(38,SearchDB!$L$2:$L$2222,0))),"")</f>
        <v/>
      </c>
      <c r="H43" s="26" t="str">
        <f aca="false">IFERROR(IF(INDEX(SearchDB!$F$2:$F$2222,MATCH(38,SearchDB!$L$2:$L$2222,0))=0,"",INDEX(SearchDB!$F$2:$F$2222,MATCH(38,SearchDB!$L$2:$L$2222,0))),"")</f>
        <v/>
      </c>
      <c r="I43" s="26" t="str">
        <f aca="false">IFERROR(IF(INDEX(SearchDB!$G$2:$G$2222,MATCH(38,SearchDB!$L$2:$L$2222,0))=0,"",INDEX(SearchDB!$G$2:$G$2222,MATCH(38,SearchDB!$L$2:$L$2222,0))),"")</f>
        <v/>
      </c>
      <c r="J43" s="26" t="str">
        <f aca="false">IFERROR(IF(INDEX(SearchDB!$H$2:$H$2222,MATCH(38,SearchDB!$L$2:$L$2222,0))=0,"",INDEX(SearchDB!$H$2:$H$2222,MATCH(38,SearchDB!$L$2:$L$2222,0))),"")</f>
        <v/>
      </c>
      <c r="K43" s="24"/>
    </row>
    <row r="44" customFormat="false" ht="19.5" hidden="false" customHeight="true" outlineLevel="0" collapsed="false">
      <c r="A44" s="2"/>
      <c r="B44" s="22" t="n">
        <v>39</v>
      </c>
      <c r="C44" s="23" t="str">
        <f aca="false">IFERROR(INDEX(SearchDB!$A$2:$A$2222,MATCH(39,SearchDB!$L$2:$L$2222,0)),"")</f>
        <v/>
      </c>
      <c r="D44" s="23" t="str">
        <f aca="false">IFERROR(INDEX(SearchDB!$B$2:$B$2222,MATCH(39,SearchDB!$L$2:$L$2222,0)),"")</f>
        <v/>
      </c>
      <c r="E44" s="22" t="str">
        <f aca="false">IFERROR(INDEX(SearchDB!$C$2:$C$2222,MATCH(39,SearchDB!$L$2:$L$2222,0)),"")</f>
        <v/>
      </c>
      <c r="F44" s="23" t="str">
        <f aca="false">IFERROR(IF(INDEX(SearchDB!$D$2:$D$2222,MATCH(39,SearchDB!$L$2:$L$2222,0))=0,"",INDEX(SearchDB!$D$2:$D$2222,MATCH(39,SearchDB!$L$2:$L$2222,0))),"")</f>
        <v/>
      </c>
      <c r="G44" s="23" t="str">
        <f aca="false">IFERROR(IF(INDEX(SearchDB!$E$2:$E$2222,MATCH(39,SearchDB!$L$2:$L$2222,0))=0,"",INDEX(SearchDB!$E$2:$E$2222,MATCH(39,SearchDB!$L$2:$L$2222,0))),"")</f>
        <v/>
      </c>
      <c r="H44" s="23" t="str">
        <f aca="false">IFERROR(IF(INDEX(SearchDB!$F$2:$F$2222,MATCH(39,SearchDB!$L$2:$L$2222,0))=0,"",INDEX(SearchDB!$F$2:$F$2222,MATCH(39,SearchDB!$L$2:$L$2222,0))),"")</f>
        <v/>
      </c>
      <c r="I44" s="23" t="str">
        <f aca="false">IFERROR(IF(INDEX(SearchDB!$G$2:$G$2222,MATCH(39,SearchDB!$L$2:$L$2222,0))=0,"",INDEX(SearchDB!$G$2:$G$2222,MATCH(39,SearchDB!$L$2:$L$2222,0))),"")</f>
        <v/>
      </c>
      <c r="J44" s="23" t="str">
        <f aca="false">IFERROR(IF(INDEX(SearchDB!$H$2:$H$2222,MATCH(39,SearchDB!$L$2:$L$2222,0))=0,"",INDEX(SearchDB!$H$2:$H$2222,MATCH(39,SearchDB!$L$2:$L$2222,0))),"")</f>
        <v/>
      </c>
      <c r="K44" s="24"/>
    </row>
    <row r="45" customFormat="false" ht="19.5" hidden="false" customHeight="true" outlineLevel="0" collapsed="false">
      <c r="A45" s="2"/>
      <c r="B45" s="25" t="n">
        <v>40</v>
      </c>
      <c r="C45" s="26" t="str">
        <f aca="false">IFERROR(INDEX(SearchDB!$A$2:$A$2222,MATCH(40,SearchDB!$L$2:$L$2222,0)),"")</f>
        <v/>
      </c>
      <c r="D45" s="26" t="str">
        <f aca="false">IFERROR(INDEX(SearchDB!$B$2:$B$2222,MATCH(40,SearchDB!$L$2:$L$2222,0)),"")</f>
        <v/>
      </c>
      <c r="E45" s="25" t="str">
        <f aca="false">IFERROR(INDEX(SearchDB!$C$2:$C$2222,MATCH(40,SearchDB!$L$2:$L$2222,0)),"")</f>
        <v/>
      </c>
      <c r="F45" s="26" t="str">
        <f aca="false">IFERROR(IF(INDEX(SearchDB!$D$2:$D$2222,MATCH(40,SearchDB!$L$2:$L$2222,0))=0,"",INDEX(SearchDB!$D$2:$D$2222,MATCH(40,SearchDB!$L$2:$L$2222,0))),"")</f>
        <v/>
      </c>
      <c r="G45" s="26" t="str">
        <f aca="false">IFERROR(IF(INDEX(SearchDB!$E$2:$E$2222,MATCH(40,SearchDB!$L$2:$L$2222,0))=0,"",INDEX(SearchDB!$E$2:$E$2222,MATCH(40,SearchDB!$L$2:$L$2222,0))),"")</f>
        <v/>
      </c>
      <c r="H45" s="26" t="str">
        <f aca="false">IFERROR(IF(INDEX(SearchDB!$F$2:$F$2222,MATCH(40,SearchDB!$L$2:$L$2222,0))=0,"",INDEX(SearchDB!$F$2:$F$2222,MATCH(40,SearchDB!$L$2:$L$2222,0))),"")</f>
        <v/>
      </c>
      <c r="I45" s="26" t="str">
        <f aca="false">IFERROR(IF(INDEX(SearchDB!$G$2:$G$2222,MATCH(40,SearchDB!$L$2:$L$2222,0))=0,"",INDEX(SearchDB!$G$2:$G$2222,MATCH(40,SearchDB!$L$2:$L$2222,0))),"")</f>
        <v/>
      </c>
      <c r="J45" s="26" t="str">
        <f aca="false">IFERROR(IF(INDEX(SearchDB!$H$2:$H$2222,MATCH(40,SearchDB!$L$2:$L$2222,0))=0,"",INDEX(SearchDB!$H$2:$H$2222,MATCH(40,SearchDB!$L$2:$L$2222,0))),"")</f>
        <v/>
      </c>
      <c r="K45" s="24"/>
    </row>
    <row r="46" customFormat="false" ht="19.5" hidden="false" customHeight="true" outlineLevel="0" collapsed="false">
      <c r="A46" s="2"/>
      <c r="B46" s="22" t="n">
        <v>41</v>
      </c>
      <c r="C46" s="23" t="str">
        <f aca="false">IFERROR(INDEX(SearchDB!$A$2:$A$2222,MATCH(41,SearchDB!$L$2:$L$2222,0)),"")</f>
        <v/>
      </c>
      <c r="D46" s="23" t="str">
        <f aca="false">IFERROR(INDEX(SearchDB!$B$2:$B$2222,MATCH(41,SearchDB!$L$2:$L$2222,0)),"")</f>
        <v/>
      </c>
      <c r="E46" s="22" t="str">
        <f aca="false">IFERROR(INDEX(SearchDB!$C$2:$C$2222,MATCH(41,SearchDB!$L$2:$L$2222,0)),"")</f>
        <v/>
      </c>
      <c r="F46" s="23" t="str">
        <f aca="false">IFERROR(IF(INDEX(SearchDB!$D$2:$D$2222,MATCH(41,SearchDB!$L$2:$L$2222,0))=0,"",INDEX(SearchDB!$D$2:$D$2222,MATCH(41,SearchDB!$L$2:$L$2222,0))),"")</f>
        <v/>
      </c>
      <c r="G46" s="23" t="str">
        <f aca="false">IFERROR(IF(INDEX(SearchDB!$E$2:$E$2222,MATCH(41,SearchDB!$L$2:$L$2222,0))=0,"",INDEX(SearchDB!$E$2:$E$2222,MATCH(41,SearchDB!$L$2:$L$2222,0))),"")</f>
        <v/>
      </c>
      <c r="H46" s="23" t="str">
        <f aca="false">IFERROR(IF(INDEX(SearchDB!$F$2:$F$2222,MATCH(41,SearchDB!$L$2:$L$2222,0))=0,"",INDEX(SearchDB!$F$2:$F$2222,MATCH(41,SearchDB!$L$2:$L$2222,0))),"")</f>
        <v/>
      </c>
      <c r="I46" s="23" t="str">
        <f aca="false">IFERROR(IF(INDEX(SearchDB!$G$2:$G$2222,MATCH(41,SearchDB!$L$2:$L$2222,0))=0,"",INDEX(SearchDB!$G$2:$G$2222,MATCH(41,SearchDB!$L$2:$L$2222,0))),"")</f>
        <v/>
      </c>
      <c r="J46" s="23" t="str">
        <f aca="false">IFERROR(IF(INDEX(SearchDB!$H$2:$H$2222,MATCH(41,SearchDB!$L$2:$L$2222,0))=0,"",INDEX(SearchDB!$H$2:$H$2222,MATCH(41,SearchDB!$L$2:$L$2222,0))),"")</f>
        <v/>
      </c>
      <c r="K46" s="24"/>
    </row>
    <row r="47" customFormat="false" ht="19.5" hidden="false" customHeight="true" outlineLevel="0" collapsed="false">
      <c r="A47" s="2"/>
      <c r="B47" s="25" t="n">
        <v>42</v>
      </c>
      <c r="C47" s="26" t="str">
        <f aca="false">IFERROR(INDEX(SearchDB!$A$2:$A$2222,MATCH(42,SearchDB!$L$2:$L$2222,0)),"")</f>
        <v/>
      </c>
      <c r="D47" s="26" t="str">
        <f aca="false">IFERROR(INDEX(SearchDB!$B$2:$B$2222,MATCH(42,SearchDB!$L$2:$L$2222,0)),"")</f>
        <v/>
      </c>
      <c r="E47" s="25" t="str">
        <f aca="false">IFERROR(INDEX(SearchDB!$C$2:$C$2222,MATCH(42,SearchDB!$L$2:$L$2222,0)),"")</f>
        <v/>
      </c>
      <c r="F47" s="26" t="str">
        <f aca="false">IFERROR(IF(INDEX(SearchDB!$D$2:$D$2222,MATCH(42,SearchDB!$L$2:$L$2222,0))=0,"",INDEX(SearchDB!$D$2:$D$2222,MATCH(42,SearchDB!$L$2:$L$2222,0))),"")</f>
        <v/>
      </c>
      <c r="G47" s="26" t="str">
        <f aca="false">IFERROR(IF(INDEX(SearchDB!$E$2:$E$2222,MATCH(42,SearchDB!$L$2:$L$2222,0))=0,"",INDEX(SearchDB!$E$2:$E$2222,MATCH(42,SearchDB!$L$2:$L$2222,0))),"")</f>
        <v/>
      </c>
      <c r="H47" s="26" t="str">
        <f aca="false">IFERROR(IF(INDEX(SearchDB!$F$2:$F$2222,MATCH(42,SearchDB!$L$2:$L$2222,0))=0,"",INDEX(SearchDB!$F$2:$F$2222,MATCH(42,SearchDB!$L$2:$L$2222,0))),"")</f>
        <v/>
      </c>
      <c r="I47" s="26" t="str">
        <f aca="false">IFERROR(IF(INDEX(SearchDB!$G$2:$G$2222,MATCH(42,SearchDB!$L$2:$L$2222,0))=0,"",INDEX(SearchDB!$G$2:$G$2222,MATCH(42,SearchDB!$L$2:$L$2222,0))),"")</f>
        <v/>
      </c>
      <c r="J47" s="26" t="str">
        <f aca="false">IFERROR(IF(INDEX(SearchDB!$H$2:$H$2222,MATCH(42,SearchDB!$L$2:$L$2222,0))=0,"",INDEX(SearchDB!$H$2:$H$2222,MATCH(42,SearchDB!$L$2:$L$2222,0))),"")</f>
        <v/>
      </c>
      <c r="K47" s="24"/>
    </row>
    <row r="48" customFormat="false" ht="19.5" hidden="false" customHeight="true" outlineLevel="0" collapsed="false">
      <c r="A48" s="2"/>
      <c r="B48" s="22" t="n">
        <v>43</v>
      </c>
      <c r="C48" s="23" t="str">
        <f aca="false">IFERROR(INDEX(SearchDB!$A$2:$A$2222,MATCH(43,SearchDB!$L$2:$L$2222,0)),"")</f>
        <v/>
      </c>
      <c r="D48" s="23" t="str">
        <f aca="false">IFERROR(INDEX(SearchDB!$B$2:$B$2222,MATCH(43,SearchDB!$L$2:$L$2222,0)),"")</f>
        <v/>
      </c>
      <c r="E48" s="22" t="str">
        <f aca="false">IFERROR(INDEX(SearchDB!$C$2:$C$2222,MATCH(43,SearchDB!$L$2:$L$2222,0)),"")</f>
        <v/>
      </c>
      <c r="F48" s="23" t="str">
        <f aca="false">IFERROR(IF(INDEX(SearchDB!$D$2:$D$2222,MATCH(43,SearchDB!$L$2:$L$2222,0))=0,"",INDEX(SearchDB!$D$2:$D$2222,MATCH(43,SearchDB!$L$2:$L$2222,0))),"")</f>
        <v/>
      </c>
      <c r="G48" s="23" t="str">
        <f aca="false">IFERROR(IF(INDEX(SearchDB!$E$2:$E$2222,MATCH(43,SearchDB!$L$2:$L$2222,0))=0,"",INDEX(SearchDB!$E$2:$E$2222,MATCH(43,SearchDB!$L$2:$L$2222,0))),"")</f>
        <v/>
      </c>
      <c r="H48" s="23" t="str">
        <f aca="false">IFERROR(IF(INDEX(SearchDB!$F$2:$F$2222,MATCH(43,SearchDB!$L$2:$L$2222,0))=0,"",INDEX(SearchDB!$F$2:$F$2222,MATCH(43,SearchDB!$L$2:$L$2222,0))),"")</f>
        <v/>
      </c>
      <c r="I48" s="23" t="str">
        <f aca="false">IFERROR(IF(INDEX(SearchDB!$G$2:$G$2222,MATCH(43,SearchDB!$L$2:$L$2222,0))=0,"",INDEX(SearchDB!$G$2:$G$2222,MATCH(43,SearchDB!$L$2:$L$2222,0))),"")</f>
        <v/>
      </c>
      <c r="J48" s="23" t="str">
        <f aca="false">IFERROR(IF(INDEX(SearchDB!$H$2:$H$2222,MATCH(43,SearchDB!$L$2:$L$2222,0))=0,"",INDEX(SearchDB!$H$2:$H$2222,MATCH(43,SearchDB!$L$2:$L$2222,0))),"")</f>
        <v/>
      </c>
      <c r="K48" s="24"/>
    </row>
    <row r="49" customFormat="false" ht="19.5" hidden="false" customHeight="true" outlineLevel="0" collapsed="false">
      <c r="A49" s="2"/>
      <c r="B49" s="25" t="n">
        <v>44</v>
      </c>
      <c r="C49" s="26" t="str">
        <f aca="false">IFERROR(INDEX(SearchDB!$A$2:$A$2222,MATCH(44,SearchDB!$L$2:$L$2222,0)),"")</f>
        <v/>
      </c>
      <c r="D49" s="26" t="str">
        <f aca="false">IFERROR(INDEX(SearchDB!$B$2:$B$2222,MATCH(44,SearchDB!$L$2:$L$2222,0)),"")</f>
        <v/>
      </c>
      <c r="E49" s="25" t="str">
        <f aca="false">IFERROR(INDEX(SearchDB!$C$2:$C$2222,MATCH(44,SearchDB!$L$2:$L$2222,0)),"")</f>
        <v/>
      </c>
      <c r="F49" s="26" t="str">
        <f aca="false">IFERROR(IF(INDEX(SearchDB!$D$2:$D$2222,MATCH(44,SearchDB!$L$2:$L$2222,0))=0,"",INDEX(SearchDB!$D$2:$D$2222,MATCH(44,SearchDB!$L$2:$L$2222,0))),"")</f>
        <v/>
      </c>
      <c r="G49" s="26" t="str">
        <f aca="false">IFERROR(IF(INDEX(SearchDB!$E$2:$E$2222,MATCH(44,SearchDB!$L$2:$L$2222,0))=0,"",INDEX(SearchDB!$E$2:$E$2222,MATCH(44,SearchDB!$L$2:$L$2222,0))),"")</f>
        <v/>
      </c>
      <c r="H49" s="26" t="str">
        <f aca="false">IFERROR(IF(INDEX(SearchDB!$F$2:$F$2222,MATCH(44,SearchDB!$L$2:$L$2222,0))=0,"",INDEX(SearchDB!$F$2:$F$2222,MATCH(44,SearchDB!$L$2:$L$2222,0))),"")</f>
        <v/>
      </c>
      <c r="I49" s="26" t="str">
        <f aca="false">IFERROR(IF(INDEX(SearchDB!$G$2:$G$2222,MATCH(44,SearchDB!$L$2:$L$2222,0))=0,"",INDEX(SearchDB!$G$2:$G$2222,MATCH(44,SearchDB!$L$2:$L$2222,0))),"")</f>
        <v/>
      </c>
      <c r="J49" s="26" t="str">
        <f aca="false">IFERROR(IF(INDEX(SearchDB!$H$2:$H$2222,MATCH(44,SearchDB!$L$2:$L$2222,0))=0,"",INDEX(SearchDB!$H$2:$H$2222,MATCH(44,SearchDB!$L$2:$L$2222,0))),"")</f>
        <v/>
      </c>
      <c r="K49" s="24"/>
    </row>
    <row r="50" customFormat="false" ht="19.5" hidden="false" customHeight="true" outlineLevel="0" collapsed="false">
      <c r="A50" s="2"/>
      <c r="B50" s="22" t="n">
        <v>45</v>
      </c>
      <c r="C50" s="23" t="str">
        <f aca="false">IFERROR(INDEX(SearchDB!$A$2:$A$2222,MATCH(45,SearchDB!$L$2:$L$2222,0)),"")</f>
        <v/>
      </c>
      <c r="D50" s="23" t="str">
        <f aca="false">IFERROR(INDEX(SearchDB!$B$2:$B$2222,MATCH(45,SearchDB!$L$2:$L$2222,0)),"")</f>
        <v/>
      </c>
      <c r="E50" s="22" t="str">
        <f aca="false">IFERROR(INDEX(SearchDB!$C$2:$C$2222,MATCH(45,SearchDB!$L$2:$L$2222,0)),"")</f>
        <v/>
      </c>
      <c r="F50" s="23" t="str">
        <f aca="false">IFERROR(IF(INDEX(SearchDB!$D$2:$D$2222,MATCH(45,SearchDB!$L$2:$L$2222,0))=0,"",INDEX(SearchDB!$D$2:$D$2222,MATCH(45,SearchDB!$L$2:$L$2222,0))),"")</f>
        <v/>
      </c>
      <c r="G50" s="23" t="str">
        <f aca="false">IFERROR(IF(INDEX(SearchDB!$E$2:$E$2222,MATCH(45,SearchDB!$L$2:$L$2222,0))=0,"",INDEX(SearchDB!$E$2:$E$2222,MATCH(45,SearchDB!$L$2:$L$2222,0))),"")</f>
        <v/>
      </c>
      <c r="H50" s="23" t="str">
        <f aca="false">IFERROR(IF(INDEX(SearchDB!$F$2:$F$2222,MATCH(45,SearchDB!$L$2:$L$2222,0))=0,"",INDEX(SearchDB!$F$2:$F$2222,MATCH(45,SearchDB!$L$2:$L$2222,0))),"")</f>
        <v/>
      </c>
      <c r="I50" s="23" t="str">
        <f aca="false">IFERROR(IF(INDEX(SearchDB!$G$2:$G$2222,MATCH(45,SearchDB!$L$2:$L$2222,0))=0,"",INDEX(SearchDB!$G$2:$G$2222,MATCH(45,SearchDB!$L$2:$L$2222,0))),"")</f>
        <v/>
      </c>
      <c r="J50" s="23" t="str">
        <f aca="false">IFERROR(IF(INDEX(SearchDB!$H$2:$H$2222,MATCH(45,SearchDB!$L$2:$L$2222,0))=0,"",INDEX(SearchDB!$H$2:$H$2222,MATCH(45,SearchDB!$L$2:$L$2222,0))),"")</f>
        <v/>
      </c>
      <c r="K50" s="24"/>
    </row>
    <row r="51" customFormat="false" ht="19.5" hidden="false" customHeight="true" outlineLevel="0" collapsed="false">
      <c r="A51" s="2"/>
      <c r="B51" s="25" t="n">
        <v>46</v>
      </c>
      <c r="C51" s="26" t="str">
        <f aca="false">IFERROR(INDEX(SearchDB!$A$2:$A$2222,MATCH(46,SearchDB!$L$2:$L$2222,0)),"")</f>
        <v/>
      </c>
      <c r="D51" s="26" t="str">
        <f aca="false">IFERROR(INDEX(SearchDB!$B$2:$B$2222,MATCH(46,SearchDB!$L$2:$L$2222,0)),"")</f>
        <v/>
      </c>
      <c r="E51" s="25" t="str">
        <f aca="false">IFERROR(INDEX(SearchDB!$C$2:$C$2222,MATCH(46,SearchDB!$L$2:$L$2222,0)),"")</f>
        <v/>
      </c>
      <c r="F51" s="26" t="str">
        <f aca="false">IFERROR(IF(INDEX(SearchDB!$D$2:$D$2222,MATCH(46,SearchDB!$L$2:$L$2222,0))=0,"",INDEX(SearchDB!$D$2:$D$2222,MATCH(46,SearchDB!$L$2:$L$2222,0))),"")</f>
        <v/>
      </c>
      <c r="G51" s="26" t="str">
        <f aca="false">IFERROR(IF(INDEX(SearchDB!$E$2:$E$2222,MATCH(46,SearchDB!$L$2:$L$2222,0))=0,"",INDEX(SearchDB!$E$2:$E$2222,MATCH(46,SearchDB!$L$2:$L$2222,0))),"")</f>
        <v/>
      </c>
      <c r="H51" s="26" t="str">
        <f aca="false">IFERROR(IF(INDEX(SearchDB!$F$2:$F$2222,MATCH(46,SearchDB!$L$2:$L$2222,0))=0,"",INDEX(SearchDB!$F$2:$F$2222,MATCH(46,SearchDB!$L$2:$L$2222,0))),"")</f>
        <v/>
      </c>
      <c r="I51" s="26" t="str">
        <f aca="false">IFERROR(IF(INDEX(SearchDB!$G$2:$G$2222,MATCH(46,SearchDB!$L$2:$L$2222,0))=0,"",INDEX(SearchDB!$G$2:$G$2222,MATCH(46,SearchDB!$L$2:$L$2222,0))),"")</f>
        <v/>
      </c>
      <c r="J51" s="26" t="str">
        <f aca="false">IFERROR(IF(INDEX(SearchDB!$H$2:$H$2222,MATCH(46,SearchDB!$L$2:$L$2222,0))=0,"",INDEX(SearchDB!$H$2:$H$2222,MATCH(46,SearchDB!$L$2:$L$2222,0))),"")</f>
        <v/>
      </c>
      <c r="K51" s="24"/>
    </row>
    <row r="52" customFormat="false" ht="19.5" hidden="false" customHeight="true" outlineLevel="0" collapsed="false">
      <c r="A52" s="2"/>
      <c r="B52" s="22" t="n">
        <v>47</v>
      </c>
      <c r="C52" s="23" t="str">
        <f aca="false">IFERROR(INDEX(SearchDB!$A$2:$A$2222,MATCH(47,SearchDB!$L$2:$L$2222,0)),"")</f>
        <v/>
      </c>
      <c r="D52" s="23" t="str">
        <f aca="false">IFERROR(INDEX(SearchDB!$B$2:$B$2222,MATCH(47,SearchDB!$L$2:$L$2222,0)),"")</f>
        <v/>
      </c>
      <c r="E52" s="22" t="str">
        <f aca="false">IFERROR(INDEX(SearchDB!$C$2:$C$2222,MATCH(47,SearchDB!$L$2:$L$2222,0)),"")</f>
        <v/>
      </c>
      <c r="F52" s="23" t="str">
        <f aca="false">IFERROR(IF(INDEX(SearchDB!$D$2:$D$2222,MATCH(47,SearchDB!$L$2:$L$2222,0))=0,"",INDEX(SearchDB!$D$2:$D$2222,MATCH(47,SearchDB!$L$2:$L$2222,0))),"")</f>
        <v/>
      </c>
      <c r="G52" s="23" t="str">
        <f aca="false">IFERROR(IF(INDEX(SearchDB!$E$2:$E$2222,MATCH(47,SearchDB!$L$2:$L$2222,0))=0,"",INDEX(SearchDB!$E$2:$E$2222,MATCH(47,SearchDB!$L$2:$L$2222,0))),"")</f>
        <v/>
      </c>
      <c r="H52" s="23" t="str">
        <f aca="false">IFERROR(IF(INDEX(SearchDB!$F$2:$F$2222,MATCH(47,SearchDB!$L$2:$L$2222,0))=0,"",INDEX(SearchDB!$F$2:$F$2222,MATCH(47,SearchDB!$L$2:$L$2222,0))),"")</f>
        <v/>
      </c>
      <c r="I52" s="23" t="str">
        <f aca="false">IFERROR(IF(INDEX(SearchDB!$G$2:$G$2222,MATCH(47,SearchDB!$L$2:$L$2222,0))=0,"",INDEX(SearchDB!$G$2:$G$2222,MATCH(47,SearchDB!$L$2:$L$2222,0))),"")</f>
        <v/>
      </c>
      <c r="J52" s="23" t="str">
        <f aca="false">IFERROR(IF(INDEX(SearchDB!$H$2:$H$2222,MATCH(47,SearchDB!$L$2:$L$2222,0))=0,"",INDEX(SearchDB!$H$2:$H$2222,MATCH(47,SearchDB!$L$2:$L$2222,0))),"")</f>
        <v/>
      </c>
      <c r="K52" s="24"/>
    </row>
    <row r="53" customFormat="false" ht="19.5" hidden="false" customHeight="true" outlineLevel="0" collapsed="false">
      <c r="A53" s="2"/>
      <c r="B53" s="25" t="n">
        <v>48</v>
      </c>
      <c r="C53" s="26" t="str">
        <f aca="false">IFERROR(INDEX(SearchDB!$A$2:$A$2222,MATCH(48,SearchDB!$L$2:$L$2222,0)),"")</f>
        <v/>
      </c>
      <c r="D53" s="26" t="str">
        <f aca="false">IFERROR(INDEX(SearchDB!$B$2:$B$2222,MATCH(48,SearchDB!$L$2:$L$2222,0)),"")</f>
        <v/>
      </c>
      <c r="E53" s="25" t="str">
        <f aca="false">IFERROR(INDEX(SearchDB!$C$2:$C$2222,MATCH(48,SearchDB!$L$2:$L$2222,0)),"")</f>
        <v/>
      </c>
      <c r="F53" s="26" t="str">
        <f aca="false">IFERROR(IF(INDEX(SearchDB!$D$2:$D$2222,MATCH(48,SearchDB!$L$2:$L$2222,0))=0,"",INDEX(SearchDB!$D$2:$D$2222,MATCH(48,SearchDB!$L$2:$L$2222,0))),"")</f>
        <v/>
      </c>
      <c r="G53" s="26" t="str">
        <f aca="false">IFERROR(IF(INDEX(SearchDB!$E$2:$E$2222,MATCH(48,SearchDB!$L$2:$L$2222,0))=0,"",INDEX(SearchDB!$E$2:$E$2222,MATCH(48,SearchDB!$L$2:$L$2222,0))),"")</f>
        <v/>
      </c>
      <c r="H53" s="26" t="str">
        <f aca="false">IFERROR(IF(INDEX(SearchDB!$F$2:$F$2222,MATCH(48,SearchDB!$L$2:$L$2222,0))=0,"",INDEX(SearchDB!$F$2:$F$2222,MATCH(48,SearchDB!$L$2:$L$2222,0))),"")</f>
        <v/>
      </c>
      <c r="I53" s="26" t="str">
        <f aca="false">IFERROR(IF(INDEX(SearchDB!$G$2:$G$2222,MATCH(48,SearchDB!$L$2:$L$2222,0))=0,"",INDEX(SearchDB!$G$2:$G$2222,MATCH(48,SearchDB!$L$2:$L$2222,0))),"")</f>
        <v/>
      </c>
      <c r="J53" s="26" t="str">
        <f aca="false">IFERROR(IF(INDEX(SearchDB!$H$2:$H$2222,MATCH(48,SearchDB!$L$2:$L$2222,0))=0,"",INDEX(SearchDB!$H$2:$H$2222,MATCH(48,SearchDB!$L$2:$L$2222,0))),"")</f>
        <v/>
      </c>
      <c r="K53" s="24"/>
    </row>
    <row r="54" customFormat="false" ht="19.5" hidden="false" customHeight="true" outlineLevel="0" collapsed="false">
      <c r="A54" s="2"/>
      <c r="B54" s="22" t="n">
        <v>49</v>
      </c>
      <c r="C54" s="23" t="str">
        <f aca="false">IFERROR(INDEX(SearchDB!$A$2:$A$2222,MATCH(49,SearchDB!$L$2:$L$2222,0)),"")</f>
        <v/>
      </c>
      <c r="D54" s="23" t="str">
        <f aca="false">IFERROR(INDEX(SearchDB!$B$2:$B$2222,MATCH(49,SearchDB!$L$2:$L$2222,0)),"")</f>
        <v/>
      </c>
      <c r="E54" s="22" t="str">
        <f aca="false">IFERROR(INDEX(SearchDB!$C$2:$C$2222,MATCH(49,SearchDB!$L$2:$L$2222,0)),"")</f>
        <v/>
      </c>
      <c r="F54" s="23" t="str">
        <f aca="false">IFERROR(IF(INDEX(SearchDB!$D$2:$D$2222,MATCH(49,SearchDB!$L$2:$L$2222,0))=0,"",INDEX(SearchDB!$D$2:$D$2222,MATCH(49,SearchDB!$L$2:$L$2222,0))),"")</f>
        <v/>
      </c>
      <c r="G54" s="23" t="str">
        <f aca="false">IFERROR(IF(INDEX(SearchDB!$E$2:$E$2222,MATCH(49,SearchDB!$L$2:$L$2222,0))=0,"",INDEX(SearchDB!$E$2:$E$2222,MATCH(49,SearchDB!$L$2:$L$2222,0))),"")</f>
        <v/>
      </c>
      <c r="H54" s="23" t="str">
        <f aca="false">IFERROR(IF(INDEX(SearchDB!$F$2:$F$2222,MATCH(49,SearchDB!$L$2:$L$2222,0))=0,"",INDEX(SearchDB!$F$2:$F$2222,MATCH(49,SearchDB!$L$2:$L$2222,0))),"")</f>
        <v/>
      </c>
      <c r="I54" s="23" t="str">
        <f aca="false">IFERROR(IF(INDEX(SearchDB!$G$2:$G$2222,MATCH(49,SearchDB!$L$2:$L$2222,0))=0,"",INDEX(SearchDB!$G$2:$G$2222,MATCH(49,SearchDB!$L$2:$L$2222,0))),"")</f>
        <v/>
      </c>
      <c r="J54" s="23" t="str">
        <f aca="false">IFERROR(IF(INDEX(SearchDB!$H$2:$H$2222,MATCH(49,SearchDB!$L$2:$L$2222,0))=0,"",INDEX(SearchDB!$H$2:$H$2222,MATCH(49,SearchDB!$L$2:$L$2222,0))),"")</f>
        <v/>
      </c>
      <c r="K54" s="24"/>
    </row>
    <row r="55" customFormat="false" ht="19.5" hidden="false" customHeight="true" outlineLevel="0" collapsed="false">
      <c r="A55" s="2"/>
      <c r="B55" s="25" t="n">
        <v>50</v>
      </c>
      <c r="C55" s="26" t="str">
        <f aca="false">IFERROR(INDEX(SearchDB!$A$2:$A$2222,MATCH(50,SearchDB!$L$2:$L$2222,0)),"")</f>
        <v/>
      </c>
      <c r="D55" s="26" t="str">
        <f aca="false">IFERROR(INDEX(SearchDB!$B$2:$B$2222,MATCH(50,SearchDB!$L$2:$L$2222,0)),"")</f>
        <v/>
      </c>
      <c r="E55" s="25" t="str">
        <f aca="false">IFERROR(INDEX(SearchDB!$C$2:$C$2222,MATCH(50,SearchDB!$L$2:$L$2222,0)),"")</f>
        <v/>
      </c>
      <c r="F55" s="26" t="str">
        <f aca="false">IFERROR(IF(INDEX(SearchDB!$D$2:$D$2222,MATCH(50,SearchDB!$L$2:$L$2222,0))=0,"",INDEX(SearchDB!$D$2:$D$2222,MATCH(50,SearchDB!$L$2:$L$2222,0))),"")</f>
        <v/>
      </c>
      <c r="G55" s="26" t="str">
        <f aca="false">IFERROR(IF(INDEX(SearchDB!$E$2:$E$2222,MATCH(50,SearchDB!$L$2:$L$2222,0))=0,"",INDEX(SearchDB!$E$2:$E$2222,MATCH(50,SearchDB!$L$2:$L$2222,0))),"")</f>
        <v/>
      </c>
      <c r="H55" s="26" t="str">
        <f aca="false">IFERROR(IF(INDEX(SearchDB!$F$2:$F$2222,MATCH(50,SearchDB!$L$2:$L$2222,0))=0,"",INDEX(SearchDB!$F$2:$F$2222,MATCH(50,SearchDB!$L$2:$L$2222,0))),"")</f>
        <v/>
      </c>
      <c r="I55" s="26" t="str">
        <f aca="false">IFERROR(IF(INDEX(SearchDB!$G$2:$G$2222,MATCH(50,SearchDB!$L$2:$L$2222,0))=0,"",INDEX(SearchDB!$G$2:$G$2222,MATCH(50,SearchDB!$L$2:$L$2222,0))),"")</f>
        <v/>
      </c>
      <c r="J55" s="26" t="str">
        <f aca="false">IFERROR(IF(INDEX(SearchDB!$H$2:$H$2222,MATCH(50,SearchDB!$L$2:$L$2222,0))=0,"",INDEX(SearchDB!$H$2:$H$2222,MATCH(50,SearchDB!$L$2:$L$2222,0))),"")</f>
        <v/>
      </c>
      <c r="K55" s="24"/>
    </row>
    <row r="56" customFormat="false" ht="19.5" hidden="false" customHeight="true" outlineLevel="0" collapsed="false">
      <c r="A56" s="2"/>
      <c r="B56" s="22" t="n">
        <v>51</v>
      </c>
      <c r="C56" s="23" t="str">
        <f aca="false">IFERROR(INDEX(SearchDB!$A$2:$A$2222,MATCH(51,SearchDB!$L$2:$L$2222,0)),"")</f>
        <v/>
      </c>
      <c r="D56" s="23" t="str">
        <f aca="false">IFERROR(INDEX(SearchDB!$B$2:$B$2222,MATCH(51,SearchDB!$L$2:$L$2222,0)),"")</f>
        <v/>
      </c>
      <c r="E56" s="22" t="str">
        <f aca="false">IFERROR(INDEX(SearchDB!$C$2:$C$2222,MATCH(51,SearchDB!$L$2:$L$2222,0)),"")</f>
        <v/>
      </c>
      <c r="F56" s="23" t="str">
        <f aca="false">IFERROR(IF(INDEX(SearchDB!$D$2:$D$2222,MATCH(51,SearchDB!$L$2:$L$2222,0))=0,"",INDEX(SearchDB!$D$2:$D$2222,MATCH(51,SearchDB!$L$2:$L$2222,0))),"")</f>
        <v/>
      </c>
      <c r="G56" s="23" t="str">
        <f aca="false">IFERROR(IF(INDEX(SearchDB!$E$2:$E$2222,MATCH(51,SearchDB!$L$2:$L$2222,0))=0,"",INDEX(SearchDB!$E$2:$E$2222,MATCH(51,SearchDB!$L$2:$L$2222,0))),"")</f>
        <v/>
      </c>
      <c r="H56" s="23" t="str">
        <f aca="false">IFERROR(IF(INDEX(SearchDB!$F$2:$F$2222,MATCH(51,SearchDB!$L$2:$L$2222,0))=0,"",INDEX(SearchDB!$F$2:$F$2222,MATCH(51,SearchDB!$L$2:$L$2222,0))),"")</f>
        <v/>
      </c>
      <c r="I56" s="23" t="str">
        <f aca="false">IFERROR(IF(INDEX(SearchDB!$G$2:$G$2222,MATCH(51,SearchDB!$L$2:$L$2222,0))=0,"",INDEX(SearchDB!$G$2:$G$2222,MATCH(51,SearchDB!$L$2:$L$2222,0))),"")</f>
        <v/>
      </c>
      <c r="J56" s="23" t="str">
        <f aca="false">IFERROR(IF(INDEX(SearchDB!$H$2:$H$2222,MATCH(51,SearchDB!$L$2:$L$2222,0))=0,"",INDEX(SearchDB!$H$2:$H$2222,MATCH(51,SearchDB!$L$2:$L$2222,0))),"")</f>
        <v/>
      </c>
      <c r="K56" s="24"/>
    </row>
    <row r="57" customFormat="false" ht="19.5" hidden="false" customHeight="true" outlineLevel="0" collapsed="false">
      <c r="A57" s="2"/>
      <c r="B57" s="25" t="n">
        <v>52</v>
      </c>
      <c r="C57" s="26" t="str">
        <f aca="false">IFERROR(INDEX(SearchDB!$A$2:$A$2222,MATCH(52,SearchDB!$L$2:$L$2222,0)),"")</f>
        <v/>
      </c>
      <c r="D57" s="26" t="str">
        <f aca="false">IFERROR(INDEX(SearchDB!$B$2:$B$2222,MATCH(52,SearchDB!$L$2:$L$2222,0)),"")</f>
        <v/>
      </c>
      <c r="E57" s="25" t="str">
        <f aca="false">IFERROR(INDEX(SearchDB!$C$2:$C$2222,MATCH(52,SearchDB!$L$2:$L$2222,0)),"")</f>
        <v/>
      </c>
      <c r="F57" s="26" t="str">
        <f aca="false">IFERROR(IF(INDEX(SearchDB!$D$2:$D$2222,MATCH(52,SearchDB!$L$2:$L$2222,0))=0,"",INDEX(SearchDB!$D$2:$D$2222,MATCH(52,SearchDB!$L$2:$L$2222,0))),"")</f>
        <v/>
      </c>
      <c r="G57" s="26" t="str">
        <f aca="false">IFERROR(IF(INDEX(SearchDB!$E$2:$E$2222,MATCH(52,SearchDB!$L$2:$L$2222,0))=0,"",INDEX(SearchDB!$E$2:$E$2222,MATCH(52,SearchDB!$L$2:$L$2222,0))),"")</f>
        <v/>
      </c>
      <c r="H57" s="26" t="str">
        <f aca="false">IFERROR(IF(INDEX(SearchDB!$F$2:$F$2222,MATCH(52,SearchDB!$L$2:$L$2222,0))=0,"",INDEX(SearchDB!$F$2:$F$2222,MATCH(52,SearchDB!$L$2:$L$2222,0))),"")</f>
        <v/>
      </c>
      <c r="I57" s="26" t="str">
        <f aca="false">IFERROR(IF(INDEX(SearchDB!$G$2:$G$2222,MATCH(52,SearchDB!$L$2:$L$2222,0))=0,"",INDEX(SearchDB!$G$2:$G$2222,MATCH(52,SearchDB!$L$2:$L$2222,0))),"")</f>
        <v/>
      </c>
      <c r="J57" s="26" t="str">
        <f aca="false">IFERROR(IF(INDEX(SearchDB!$H$2:$H$2222,MATCH(52,SearchDB!$L$2:$L$2222,0))=0,"",INDEX(SearchDB!$H$2:$H$2222,MATCH(52,SearchDB!$L$2:$L$2222,0))),"")</f>
        <v/>
      </c>
      <c r="K57" s="24"/>
    </row>
    <row r="58" customFormat="false" ht="19.5" hidden="false" customHeight="true" outlineLevel="0" collapsed="false">
      <c r="A58" s="2"/>
      <c r="B58" s="22" t="n">
        <v>53</v>
      </c>
      <c r="C58" s="23" t="str">
        <f aca="false">IFERROR(INDEX(SearchDB!$A$2:$A$2222,MATCH(53,SearchDB!$L$2:$L$2222,0)),"")</f>
        <v/>
      </c>
      <c r="D58" s="23" t="str">
        <f aca="false">IFERROR(INDEX(SearchDB!$B$2:$B$2222,MATCH(53,SearchDB!$L$2:$L$2222,0)),"")</f>
        <v/>
      </c>
      <c r="E58" s="22" t="str">
        <f aca="false">IFERROR(INDEX(SearchDB!$C$2:$C$2222,MATCH(53,SearchDB!$L$2:$L$2222,0)),"")</f>
        <v/>
      </c>
      <c r="F58" s="23" t="str">
        <f aca="false">IFERROR(IF(INDEX(SearchDB!$D$2:$D$2222,MATCH(53,SearchDB!$L$2:$L$2222,0))=0,"",INDEX(SearchDB!$D$2:$D$2222,MATCH(53,SearchDB!$L$2:$L$2222,0))),"")</f>
        <v/>
      </c>
      <c r="G58" s="23" t="str">
        <f aca="false">IFERROR(IF(INDEX(SearchDB!$E$2:$E$2222,MATCH(53,SearchDB!$L$2:$L$2222,0))=0,"",INDEX(SearchDB!$E$2:$E$2222,MATCH(53,SearchDB!$L$2:$L$2222,0))),"")</f>
        <v/>
      </c>
      <c r="H58" s="23" t="str">
        <f aca="false">IFERROR(IF(INDEX(SearchDB!$F$2:$F$2222,MATCH(53,SearchDB!$L$2:$L$2222,0))=0,"",INDEX(SearchDB!$F$2:$F$2222,MATCH(53,SearchDB!$L$2:$L$2222,0))),"")</f>
        <v/>
      </c>
      <c r="I58" s="23" t="str">
        <f aca="false">IFERROR(IF(INDEX(SearchDB!$G$2:$G$2222,MATCH(53,SearchDB!$L$2:$L$2222,0))=0,"",INDEX(SearchDB!$G$2:$G$2222,MATCH(53,SearchDB!$L$2:$L$2222,0))),"")</f>
        <v/>
      </c>
      <c r="J58" s="23" t="str">
        <f aca="false">IFERROR(IF(INDEX(SearchDB!$H$2:$H$2222,MATCH(53,SearchDB!$L$2:$L$2222,0))=0,"",INDEX(SearchDB!$H$2:$H$2222,MATCH(53,SearchDB!$L$2:$L$2222,0))),"")</f>
        <v/>
      </c>
      <c r="K58" s="24"/>
    </row>
    <row r="59" customFormat="false" ht="19.5" hidden="false" customHeight="true" outlineLevel="0" collapsed="false">
      <c r="A59" s="2"/>
      <c r="B59" s="25" t="n">
        <v>54</v>
      </c>
      <c r="C59" s="26" t="str">
        <f aca="false">IFERROR(INDEX(SearchDB!$A$2:$A$2222,MATCH(54,SearchDB!$L$2:$L$2222,0)),"")</f>
        <v/>
      </c>
      <c r="D59" s="26" t="str">
        <f aca="false">IFERROR(INDEX(SearchDB!$B$2:$B$2222,MATCH(54,SearchDB!$L$2:$L$2222,0)),"")</f>
        <v/>
      </c>
      <c r="E59" s="25" t="str">
        <f aca="false">IFERROR(INDEX(SearchDB!$C$2:$C$2222,MATCH(54,SearchDB!$L$2:$L$2222,0)),"")</f>
        <v/>
      </c>
      <c r="F59" s="26" t="str">
        <f aca="false">IFERROR(IF(INDEX(SearchDB!$D$2:$D$2222,MATCH(54,SearchDB!$L$2:$L$2222,0))=0,"",INDEX(SearchDB!$D$2:$D$2222,MATCH(54,SearchDB!$L$2:$L$2222,0))),"")</f>
        <v/>
      </c>
      <c r="G59" s="26" t="str">
        <f aca="false">IFERROR(IF(INDEX(SearchDB!$E$2:$E$2222,MATCH(54,SearchDB!$L$2:$L$2222,0))=0,"",INDEX(SearchDB!$E$2:$E$2222,MATCH(54,SearchDB!$L$2:$L$2222,0))),"")</f>
        <v/>
      </c>
      <c r="H59" s="26" t="str">
        <f aca="false">IFERROR(IF(INDEX(SearchDB!$F$2:$F$2222,MATCH(54,SearchDB!$L$2:$L$2222,0))=0,"",INDEX(SearchDB!$F$2:$F$2222,MATCH(54,SearchDB!$L$2:$L$2222,0))),"")</f>
        <v/>
      </c>
      <c r="I59" s="26" t="str">
        <f aca="false">IFERROR(IF(INDEX(SearchDB!$G$2:$G$2222,MATCH(54,SearchDB!$L$2:$L$2222,0))=0,"",INDEX(SearchDB!$G$2:$G$2222,MATCH(54,SearchDB!$L$2:$L$2222,0))),"")</f>
        <v/>
      </c>
      <c r="J59" s="26" t="str">
        <f aca="false">IFERROR(IF(INDEX(SearchDB!$H$2:$H$2222,MATCH(54,SearchDB!$L$2:$L$2222,0))=0,"",INDEX(SearchDB!$H$2:$H$2222,MATCH(54,SearchDB!$L$2:$L$2222,0))),"")</f>
        <v/>
      </c>
      <c r="K59" s="24"/>
    </row>
    <row r="60" customFormat="false" ht="19.5" hidden="false" customHeight="true" outlineLevel="0" collapsed="false">
      <c r="A60" s="2"/>
      <c r="B60" s="22" t="n">
        <v>55</v>
      </c>
      <c r="C60" s="23" t="str">
        <f aca="false">IFERROR(INDEX(SearchDB!$A$2:$A$2222,MATCH(55,SearchDB!$L$2:$L$2222,0)),"")</f>
        <v/>
      </c>
      <c r="D60" s="23" t="str">
        <f aca="false">IFERROR(INDEX(SearchDB!$B$2:$B$2222,MATCH(55,SearchDB!$L$2:$L$2222,0)),"")</f>
        <v/>
      </c>
      <c r="E60" s="22" t="str">
        <f aca="false">IFERROR(INDEX(SearchDB!$C$2:$C$2222,MATCH(55,SearchDB!$L$2:$L$2222,0)),"")</f>
        <v/>
      </c>
      <c r="F60" s="23" t="str">
        <f aca="false">IFERROR(IF(INDEX(SearchDB!$D$2:$D$2222,MATCH(55,SearchDB!$L$2:$L$2222,0))=0,"",INDEX(SearchDB!$D$2:$D$2222,MATCH(55,SearchDB!$L$2:$L$2222,0))),"")</f>
        <v/>
      </c>
      <c r="G60" s="23" t="str">
        <f aca="false">IFERROR(IF(INDEX(SearchDB!$E$2:$E$2222,MATCH(55,SearchDB!$L$2:$L$2222,0))=0,"",INDEX(SearchDB!$E$2:$E$2222,MATCH(55,SearchDB!$L$2:$L$2222,0))),"")</f>
        <v/>
      </c>
      <c r="H60" s="23" t="str">
        <f aca="false">IFERROR(IF(INDEX(SearchDB!$F$2:$F$2222,MATCH(55,SearchDB!$L$2:$L$2222,0))=0,"",INDEX(SearchDB!$F$2:$F$2222,MATCH(55,SearchDB!$L$2:$L$2222,0))),"")</f>
        <v/>
      </c>
      <c r="I60" s="23" t="str">
        <f aca="false">IFERROR(IF(INDEX(SearchDB!$G$2:$G$2222,MATCH(55,SearchDB!$L$2:$L$2222,0))=0,"",INDEX(SearchDB!$G$2:$G$2222,MATCH(55,SearchDB!$L$2:$L$2222,0))),"")</f>
        <v/>
      </c>
      <c r="J60" s="23" t="str">
        <f aca="false">IFERROR(IF(INDEX(SearchDB!$H$2:$H$2222,MATCH(55,SearchDB!$L$2:$L$2222,0))=0,"",INDEX(SearchDB!$H$2:$H$2222,MATCH(55,SearchDB!$L$2:$L$2222,0))),"")</f>
        <v/>
      </c>
      <c r="K60" s="24"/>
    </row>
    <row r="61" customFormat="false" ht="19.5" hidden="false" customHeight="true" outlineLevel="0" collapsed="false">
      <c r="A61" s="2"/>
      <c r="B61" s="25" t="n">
        <v>56</v>
      </c>
      <c r="C61" s="26" t="str">
        <f aca="false">IFERROR(INDEX(SearchDB!$A$2:$A$2222,MATCH(56,SearchDB!$L$2:$L$2222,0)),"")</f>
        <v/>
      </c>
      <c r="D61" s="26" t="str">
        <f aca="false">IFERROR(INDEX(SearchDB!$B$2:$B$2222,MATCH(56,SearchDB!$L$2:$L$2222,0)),"")</f>
        <v/>
      </c>
      <c r="E61" s="25" t="str">
        <f aca="false">IFERROR(INDEX(SearchDB!$C$2:$C$2222,MATCH(56,SearchDB!$L$2:$L$2222,0)),"")</f>
        <v/>
      </c>
      <c r="F61" s="26" t="str">
        <f aca="false">IFERROR(IF(INDEX(SearchDB!$D$2:$D$2222,MATCH(56,SearchDB!$L$2:$L$2222,0))=0,"",INDEX(SearchDB!$D$2:$D$2222,MATCH(56,SearchDB!$L$2:$L$2222,0))),"")</f>
        <v/>
      </c>
      <c r="G61" s="26" t="str">
        <f aca="false">IFERROR(IF(INDEX(SearchDB!$E$2:$E$2222,MATCH(56,SearchDB!$L$2:$L$2222,0))=0,"",INDEX(SearchDB!$E$2:$E$2222,MATCH(56,SearchDB!$L$2:$L$2222,0))),"")</f>
        <v/>
      </c>
      <c r="H61" s="26" t="str">
        <f aca="false">IFERROR(IF(INDEX(SearchDB!$F$2:$F$2222,MATCH(56,SearchDB!$L$2:$L$2222,0))=0,"",INDEX(SearchDB!$F$2:$F$2222,MATCH(56,SearchDB!$L$2:$L$2222,0))),"")</f>
        <v/>
      </c>
      <c r="I61" s="26" t="str">
        <f aca="false">IFERROR(IF(INDEX(SearchDB!$G$2:$G$2222,MATCH(56,SearchDB!$L$2:$L$2222,0))=0,"",INDEX(SearchDB!$G$2:$G$2222,MATCH(56,SearchDB!$L$2:$L$2222,0))),"")</f>
        <v/>
      </c>
      <c r="J61" s="26" t="str">
        <f aca="false">IFERROR(IF(INDEX(SearchDB!$H$2:$H$2222,MATCH(56,SearchDB!$L$2:$L$2222,0))=0,"",INDEX(SearchDB!$H$2:$H$2222,MATCH(56,SearchDB!$L$2:$L$2222,0))),"")</f>
        <v/>
      </c>
      <c r="K61" s="24"/>
    </row>
    <row r="62" customFormat="false" ht="19.5" hidden="false" customHeight="true" outlineLevel="0" collapsed="false">
      <c r="A62" s="2"/>
      <c r="B62" s="22" t="n">
        <v>57</v>
      </c>
      <c r="C62" s="23" t="str">
        <f aca="false">IFERROR(INDEX(SearchDB!$A$2:$A$2222,MATCH(57,SearchDB!$L$2:$L$2222,0)),"")</f>
        <v/>
      </c>
      <c r="D62" s="23" t="str">
        <f aca="false">IFERROR(INDEX(SearchDB!$B$2:$B$2222,MATCH(57,SearchDB!$L$2:$L$2222,0)),"")</f>
        <v/>
      </c>
      <c r="E62" s="22" t="str">
        <f aca="false">IFERROR(INDEX(SearchDB!$C$2:$C$2222,MATCH(57,SearchDB!$L$2:$L$2222,0)),"")</f>
        <v/>
      </c>
      <c r="F62" s="23" t="str">
        <f aca="false">IFERROR(IF(INDEX(SearchDB!$D$2:$D$2222,MATCH(57,SearchDB!$L$2:$L$2222,0))=0,"",INDEX(SearchDB!$D$2:$D$2222,MATCH(57,SearchDB!$L$2:$L$2222,0))),"")</f>
        <v/>
      </c>
      <c r="G62" s="23" t="str">
        <f aca="false">IFERROR(IF(INDEX(SearchDB!$E$2:$E$2222,MATCH(57,SearchDB!$L$2:$L$2222,0))=0,"",INDEX(SearchDB!$E$2:$E$2222,MATCH(57,SearchDB!$L$2:$L$2222,0))),"")</f>
        <v/>
      </c>
      <c r="H62" s="23" t="str">
        <f aca="false">IFERROR(IF(INDEX(SearchDB!$F$2:$F$2222,MATCH(57,SearchDB!$L$2:$L$2222,0))=0,"",INDEX(SearchDB!$F$2:$F$2222,MATCH(57,SearchDB!$L$2:$L$2222,0))),"")</f>
        <v/>
      </c>
      <c r="I62" s="23" t="str">
        <f aca="false">IFERROR(IF(INDEX(SearchDB!$G$2:$G$2222,MATCH(57,SearchDB!$L$2:$L$2222,0))=0,"",INDEX(SearchDB!$G$2:$G$2222,MATCH(57,SearchDB!$L$2:$L$2222,0))),"")</f>
        <v/>
      </c>
      <c r="J62" s="23" t="str">
        <f aca="false">IFERROR(IF(INDEX(SearchDB!$H$2:$H$2222,MATCH(57,SearchDB!$L$2:$L$2222,0))=0,"",INDEX(SearchDB!$H$2:$H$2222,MATCH(57,SearchDB!$L$2:$L$2222,0))),"")</f>
        <v/>
      </c>
      <c r="K62" s="24"/>
    </row>
    <row r="63" customFormat="false" ht="19.5" hidden="false" customHeight="true" outlineLevel="0" collapsed="false">
      <c r="A63" s="2"/>
      <c r="B63" s="25" t="n">
        <v>58</v>
      </c>
      <c r="C63" s="26" t="str">
        <f aca="false">IFERROR(INDEX(SearchDB!$A$2:$A$2222,MATCH(58,SearchDB!$L$2:$L$2222,0)),"")</f>
        <v/>
      </c>
      <c r="D63" s="26" t="str">
        <f aca="false">IFERROR(INDEX(SearchDB!$B$2:$B$2222,MATCH(58,SearchDB!$L$2:$L$2222,0)),"")</f>
        <v/>
      </c>
      <c r="E63" s="25" t="str">
        <f aca="false">IFERROR(INDEX(SearchDB!$C$2:$C$2222,MATCH(58,SearchDB!$L$2:$L$2222,0)),"")</f>
        <v/>
      </c>
      <c r="F63" s="26" t="str">
        <f aca="false">IFERROR(IF(INDEX(SearchDB!$D$2:$D$2222,MATCH(58,SearchDB!$L$2:$L$2222,0))=0,"",INDEX(SearchDB!$D$2:$D$2222,MATCH(58,SearchDB!$L$2:$L$2222,0))),"")</f>
        <v/>
      </c>
      <c r="G63" s="26" t="str">
        <f aca="false">IFERROR(IF(INDEX(SearchDB!$E$2:$E$2222,MATCH(58,SearchDB!$L$2:$L$2222,0))=0,"",INDEX(SearchDB!$E$2:$E$2222,MATCH(58,SearchDB!$L$2:$L$2222,0))),"")</f>
        <v/>
      </c>
      <c r="H63" s="26" t="str">
        <f aca="false">IFERROR(IF(INDEX(SearchDB!$F$2:$F$2222,MATCH(58,SearchDB!$L$2:$L$2222,0))=0,"",INDEX(SearchDB!$F$2:$F$2222,MATCH(58,SearchDB!$L$2:$L$2222,0))),"")</f>
        <v/>
      </c>
      <c r="I63" s="26" t="str">
        <f aca="false">IFERROR(IF(INDEX(SearchDB!$G$2:$G$2222,MATCH(58,SearchDB!$L$2:$L$2222,0))=0,"",INDEX(SearchDB!$G$2:$G$2222,MATCH(58,SearchDB!$L$2:$L$2222,0))),"")</f>
        <v/>
      </c>
      <c r="J63" s="26" t="str">
        <f aca="false">IFERROR(IF(INDEX(SearchDB!$H$2:$H$2222,MATCH(58,SearchDB!$L$2:$L$2222,0))=0,"",INDEX(SearchDB!$H$2:$H$2222,MATCH(58,SearchDB!$L$2:$L$2222,0))),"")</f>
        <v/>
      </c>
      <c r="K63" s="24"/>
    </row>
    <row r="64" customFormat="false" ht="19.5" hidden="false" customHeight="true" outlineLevel="0" collapsed="false">
      <c r="A64" s="2"/>
      <c r="B64" s="22" t="n">
        <v>59</v>
      </c>
      <c r="C64" s="23" t="str">
        <f aca="false">IFERROR(INDEX(SearchDB!$A$2:$A$2222,MATCH(59,SearchDB!$L$2:$L$2222,0)),"")</f>
        <v/>
      </c>
      <c r="D64" s="23" t="str">
        <f aca="false">IFERROR(INDEX(SearchDB!$B$2:$B$2222,MATCH(59,SearchDB!$L$2:$L$2222,0)),"")</f>
        <v/>
      </c>
      <c r="E64" s="22" t="str">
        <f aca="false">IFERROR(INDEX(SearchDB!$C$2:$C$2222,MATCH(59,SearchDB!$L$2:$L$2222,0)),"")</f>
        <v/>
      </c>
      <c r="F64" s="23" t="str">
        <f aca="false">IFERROR(IF(INDEX(SearchDB!$D$2:$D$2222,MATCH(59,SearchDB!$L$2:$L$2222,0))=0,"",INDEX(SearchDB!$D$2:$D$2222,MATCH(59,SearchDB!$L$2:$L$2222,0))),"")</f>
        <v/>
      </c>
      <c r="G64" s="23" t="str">
        <f aca="false">IFERROR(IF(INDEX(SearchDB!$E$2:$E$2222,MATCH(59,SearchDB!$L$2:$L$2222,0))=0,"",INDEX(SearchDB!$E$2:$E$2222,MATCH(59,SearchDB!$L$2:$L$2222,0))),"")</f>
        <v/>
      </c>
      <c r="H64" s="23" t="str">
        <f aca="false">IFERROR(IF(INDEX(SearchDB!$F$2:$F$2222,MATCH(59,SearchDB!$L$2:$L$2222,0))=0,"",INDEX(SearchDB!$F$2:$F$2222,MATCH(59,SearchDB!$L$2:$L$2222,0))),"")</f>
        <v/>
      </c>
      <c r="I64" s="23" t="str">
        <f aca="false">IFERROR(IF(INDEX(SearchDB!$G$2:$G$2222,MATCH(59,SearchDB!$L$2:$L$2222,0))=0,"",INDEX(SearchDB!$G$2:$G$2222,MATCH(59,SearchDB!$L$2:$L$2222,0))),"")</f>
        <v/>
      </c>
      <c r="J64" s="23" t="str">
        <f aca="false">IFERROR(IF(INDEX(SearchDB!$H$2:$H$2222,MATCH(59,SearchDB!$L$2:$L$2222,0))=0,"",INDEX(SearchDB!$H$2:$H$2222,MATCH(59,SearchDB!$L$2:$L$2222,0))),"")</f>
        <v/>
      </c>
      <c r="K64" s="24"/>
    </row>
    <row r="65" customFormat="false" ht="19.5" hidden="false" customHeight="true" outlineLevel="0" collapsed="false">
      <c r="A65" s="2"/>
      <c r="B65" s="25" t="n">
        <v>60</v>
      </c>
      <c r="C65" s="26" t="str">
        <f aca="false">IFERROR(INDEX(SearchDB!$A$2:$A$2222,MATCH(60,SearchDB!$L$2:$L$2222,0)),"")</f>
        <v/>
      </c>
      <c r="D65" s="26" t="str">
        <f aca="false">IFERROR(INDEX(SearchDB!$B$2:$B$2222,MATCH(60,SearchDB!$L$2:$L$2222,0)),"")</f>
        <v/>
      </c>
      <c r="E65" s="25" t="str">
        <f aca="false">IFERROR(INDEX(SearchDB!$C$2:$C$2222,MATCH(60,SearchDB!$L$2:$L$2222,0)),"")</f>
        <v/>
      </c>
      <c r="F65" s="26" t="str">
        <f aca="false">IFERROR(IF(INDEX(SearchDB!$D$2:$D$2222,MATCH(60,SearchDB!$L$2:$L$2222,0))=0,"",INDEX(SearchDB!$D$2:$D$2222,MATCH(60,SearchDB!$L$2:$L$2222,0))),"")</f>
        <v/>
      </c>
      <c r="G65" s="26" t="str">
        <f aca="false">IFERROR(IF(INDEX(SearchDB!$E$2:$E$2222,MATCH(60,SearchDB!$L$2:$L$2222,0))=0,"",INDEX(SearchDB!$E$2:$E$2222,MATCH(60,SearchDB!$L$2:$L$2222,0))),"")</f>
        <v/>
      </c>
      <c r="H65" s="26" t="str">
        <f aca="false">IFERROR(IF(INDEX(SearchDB!$F$2:$F$2222,MATCH(60,SearchDB!$L$2:$L$2222,0))=0,"",INDEX(SearchDB!$F$2:$F$2222,MATCH(60,SearchDB!$L$2:$L$2222,0))),"")</f>
        <v/>
      </c>
      <c r="I65" s="26" t="str">
        <f aca="false">IFERROR(IF(INDEX(SearchDB!$G$2:$G$2222,MATCH(60,SearchDB!$L$2:$L$2222,0))=0,"",INDEX(SearchDB!$G$2:$G$2222,MATCH(60,SearchDB!$L$2:$L$2222,0))),"")</f>
        <v/>
      </c>
      <c r="J65" s="26" t="str">
        <f aca="false">IFERROR(IF(INDEX(SearchDB!$H$2:$H$2222,MATCH(60,SearchDB!$L$2:$L$2222,0))=0,"",INDEX(SearchDB!$H$2:$H$2222,MATCH(60,SearchDB!$L$2:$L$2222,0))),"")</f>
        <v/>
      </c>
      <c r="K65" s="24"/>
    </row>
    <row r="66" customFormat="false" ht="19.5" hidden="false" customHeight="true" outlineLevel="0" collapsed="false">
      <c r="A66" s="2"/>
      <c r="B66" s="22" t="n">
        <v>61</v>
      </c>
      <c r="C66" s="23" t="str">
        <f aca="false">IFERROR(INDEX(SearchDB!$A$2:$A$2222,MATCH(61,SearchDB!$L$2:$L$2222,0)),"")</f>
        <v/>
      </c>
      <c r="D66" s="23" t="str">
        <f aca="false">IFERROR(INDEX(SearchDB!$B$2:$B$2222,MATCH(61,SearchDB!$L$2:$L$2222,0)),"")</f>
        <v/>
      </c>
      <c r="E66" s="22" t="str">
        <f aca="false">IFERROR(INDEX(SearchDB!$C$2:$C$2222,MATCH(61,SearchDB!$L$2:$L$2222,0)),"")</f>
        <v/>
      </c>
      <c r="F66" s="23" t="str">
        <f aca="false">IFERROR(IF(INDEX(SearchDB!$D$2:$D$2222,MATCH(61,SearchDB!$L$2:$L$2222,0))=0,"",INDEX(SearchDB!$D$2:$D$2222,MATCH(61,SearchDB!$L$2:$L$2222,0))),"")</f>
        <v/>
      </c>
      <c r="G66" s="23" t="str">
        <f aca="false">IFERROR(IF(INDEX(SearchDB!$E$2:$E$2222,MATCH(61,SearchDB!$L$2:$L$2222,0))=0,"",INDEX(SearchDB!$E$2:$E$2222,MATCH(61,SearchDB!$L$2:$L$2222,0))),"")</f>
        <v/>
      </c>
      <c r="H66" s="23" t="str">
        <f aca="false">IFERROR(IF(INDEX(SearchDB!$F$2:$F$2222,MATCH(61,SearchDB!$L$2:$L$2222,0))=0,"",INDEX(SearchDB!$F$2:$F$2222,MATCH(61,SearchDB!$L$2:$L$2222,0))),"")</f>
        <v/>
      </c>
      <c r="I66" s="23" t="str">
        <f aca="false">IFERROR(IF(INDEX(SearchDB!$G$2:$G$2222,MATCH(61,SearchDB!$L$2:$L$2222,0))=0,"",INDEX(SearchDB!$G$2:$G$2222,MATCH(61,SearchDB!$L$2:$L$2222,0))),"")</f>
        <v/>
      </c>
      <c r="J66" s="23" t="str">
        <f aca="false">IFERROR(IF(INDEX(SearchDB!$H$2:$H$2222,MATCH(61,SearchDB!$L$2:$L$2222,0))=0,"",INDEX(SearchDB!$H$2:$H$2222,MATCH(61,SearchDB!$L$2:$L$2222,0))),"")</f>
        <v/>
      </c>
      <c r="K66" s="24"/>
    </row>
    <row r="67" customFormat="false" ht="19.5" hidden="false" customHeight="true" outlineLevel="0" collapsed="false">
      <c r="A67" s="2"/>
      <c r="B67" s="25" t="n">
        <v>62</v>
      </c>
      <c r="C67" s="26" t="str">
        <f aca="false">IFERROR(INDEX(SearchDB!$A$2:$A$2222,MATCH(62,SearchDB!$L$2:$L$2222,0)),"")</f>
        <v/>
      </c>
      <c r="D67" s="26" t="str">
        <f aca="false">IFERROR(INDEX(SearchDB!$B$2:$B$2222,MATCH(62,SearchDB!$L$2:$L$2222,0)),"")</f>
        <v/>
      </c>
      <c r="E67" s="25" t="str">
        <f aca="false">IFERROR(INDEX(SearchDB!$C$2:$C$2222,MATCH(62,SearchDB!$L$2:$L$2222,0)),"")</f>
        <v/>
      </c>
      <c r="F67" s="26" t="str">
        <f aca="false">IFERROR(IF(INDEX(SearchDB!$D$2:$D$2222,MATCH(62,SearchDB!$L$2:$L$2222,0))=0,"",INDEX(SearchDB!$D$2:$D$2222,MATCH(62,SearchDB!$L$2:$L$2222,0))),"")</f>
        <v/>
      </c>
      <c r="G67" s="26" t="str">
        <f aca="false">IFERROR(IF(INDEX(SearchDB!$E$2:$E$2222,MATCH(62,SearchDB!$L$2:$L$2222,0))=0,"",INDEX(SearchDB!$E$2:$E$2222,MATCH(62,SearchDB!$L$2:$L$2222,0))),"")</f>
        <v/>
      </c>
      <c r="H67" s="26" t="str">
        <f aca="false">IFERROR(IF(INDEX(SearchDB!$F$2:$F$2222,MATCH(62,SearchDB!$L$2:$L$2222,0))=0,"",INDEX(SearchDB!$F$2:$F$2222,MATCH(62,SearchDB!$L$2:$L$2222,0))),"")</f>
        <v/>
      </c>
      <c r="I67" s="26" t="str">
        <f aca="false">IFERROR(IF(INDEX(SearchDB!$G$2:$G$2222,MATCH(62,SearchDB!$L$2:$L$2222,0))=0,"",INDEX(SearchDB!$G$2:$G$2222,MATCH(62,SearchDB!$L$2:$L$2222,0))),"")</f>
        <v/>
      </c>
      <c r="J67" s="26" t="str">
        <f aca="false">IFERROR(IF(INDEX(SearchDB!$H$2:$H$2222,MATCH(62,SearchDB!$L$2:$L$2222,0))=0,"",INDEX(SearchDB!$H$2:$H$2222,MATCH(62,SearchDB!$L$2:$L$2222,0))),"")</f>
        <v/>
      </c>
      <c r="K67" s="24"/>
    </row>
    <row r="68" customFormat="false" ht="19.5" hidden="false" customHeight="true" outlineLevel="0" collapsed="false">
      <c r="A68" s="2"/>
      <c r="B68" s="22" t="n">
        <v>63</v>
      </c>
      <c r="C68" s="23" t="str">
        <f aca="false">IFERROR(INDEX(SearchDB!$A$2:$A$2222,MATCH(63,SearchDB!$L$2:$L$2222,0)),"")</f>
        <v/>
      </c>
      <c r="D68" s="23" t="str">
        <f aca="false">IFERROR(INDEX(SearchDB!$B$2:$B$2222,MATCH(63,SearchDB!$L$2:$L$2222,0)),"")</f>
        <v/>
      </c>
      <c r="E68" s="22" t="str">
        <f aca="false">IFERROR(INDEX(SearchDB!$C$2:$C$2222,MATCH(63,SearchDB!$L$2:$L$2222,0)),"")</f>
        <v/>
      </c>
      <c r="F68" s="23" t="str">
        <f aca="false">IFERROR(IF(INDEX(SearchDB!$D$2:$D$2222,MATCH(63,SearchDB!$L$2:$L$2222,0))=0,"",INDEX(SearchDB!$D$2:$D$2222,MATCH(63,SearchDB!$L$2:$L$2222,0))),"")</f>
        <v/>
      </c>
      <c r="G68" s="23" t="str">
        <f aca="false">IFERROR(IF(INDEX(SearchDB!$E$2:$E$2222,MATCH(63,SearchDB!$L$2:$L$2222,0))=0,"",INDEX(SearchDB!$E$2:$E$2222,MATCH(63,SearchDB!$L$2:$L$2222,0))),"")</f>
        <v/>
      </c>
      <c r="H68" s="23" t="str">
        <f aca="false">IFERROR(IF(INDEX(SearchDB!$F$2:$F$2222,MATCH(63,SearchDB!$L$2:$L$2222,0))=0,"",INDEX(SearchDB!$F$2:$F$2222,MATCH(63,SearchDB!$L$2:$L$2222,0))),"")</f>
        <v/>
      </c>
      <c r="I68" s="23" t="str">
        <f aca="false">IFERROR(IF(INDEX(SearchDB!$G$2:$G$2222,MATCH(63,SearchDB!$L$2:$L$2222,0))=0,"",INDEX(SearchDB!$G$2:$G$2222,MATCH(63,SearchDB!$L$2:$L$2222,0))),"")</f>
        <v/>
      </c>
      <c r="J68" s="23" t="str">
        <f aca="false">IFERROR(IF(INDEX(SearchDB!$H$2:$H$2222,MATCH(63,SearchDB!$L$2:$L$2222,0))=0,"",INDEX(SearchDB!$H$2:$H$2222,MATCH(63,SearchDB!$L$2:$L$2222,0))),"")</f>
        <v/>
      </c>
      <c r="K68" s="24"/>
    </row>
    <row r="69" customFormat="false" ht="19.5" hidden="false" customHeight="true" outlineLevel="0" collapsed="false">
      <c r="A69" s="2"/>
      <c r="B69" s="25" t="n">
        <v>64</v>
      </c>
      <c r="C69" s="26" t="str">
        <f aca="false">IFERROR(INDEX(SearchDB!$A$2:$A$2222,MATCH(64,SearchDB!$L$2:$L$2222,0)),"")</f>
        <v/>
      </c>
      <c r="D69" s="26" t="str">
        <f aca="false">IFERROR(INDEX(SearchDB!$B$2:$B$2222,MATCH(64,SearchDB!$L$2:$L$2222,0)),"")</f>
        <v/>
      </c>
      <c r="E69" s="25" t="str">
        <f aca="false">IFERROR(INDEX(SearchDB!$C$2:$C$2222,MATCH(64,SearchDB!$L$2:$L$2222,0)),"")</f>
        <v/>
      </c>
      <c r="F69" s="26" t="str">
        <f aca="false">IFERROR(IF(INDEX(SearchDB!$D$2:$D$2222,MATCH(64,SearchDB!$L$2:$L$2222,0))=0,"",INDEX(SearchDB!$D$2:$D$2222,MATCH(64,SearchDB!$L$2:$L$2222,0))),"")</f>
        <v/>
      </c>
      <c r="G69" s="26" t="str">
        <f aca="false">IFERROR(IF(INDEX(SearchDB!$E$2:$E$2222,MATCH(64,SearchDB!$L$2:$L$2222,0))=0,"",INDEX(SearchDB!$E$2:$E$2222,MATCH(64,SearchDB!$L$2:$L$2222,0))),"")</f>
        <v/>
      </c>
      <c r="H69" s="26" t="str">
        <f aca="false">IFERROR(IF(INDEX(SearchDB!$F$2:$F$2222,MATCH(64,SearchDB!$L$2:$L$2222,0))=0,"",INDEX(SearchDB!$F$2:$F$2222,MATCH(64,SearchDB!$L$2:$L$2222,0))),"")</f>
        <v/>
      </c>
      <c r="I69" s="26" t="str">
        <f aca="false">IFERROR(IF(INDEX(SearchDB!$G$2:$G$2222,MATCH(64,SearchDB!$L$2:$L$2222,0))=0,"",INDEX(SearchDB!$G$2:$G$2222,MATCH(64,SearchDB!$L$2:$L$2222,0))),"")</f>
        <v/>
      </c>
      <c r="J69" s="26" t="str">
        <f aca="false">IFERROR(IF(INDEX(SearchDB!$H$2:$H$2222,MATCH(64,SearchDB!$L$2:$L$2222,0))=0,"",INDEX(SearchDB!$H$2:$H$2222,MATCH(64,SearchDB!$L$2:$L$2222,0))),"")</f>
        <v/>
      </c>
      <c r="K69" s="24"/>
    </row>
    <row r="70" customFormat="false" ht="19.5" hidden="false" customHeight="true" outlineLevel="0" collapsed="false">
      <c r="A70" s="2"/>
      <c r="B70" s="22" t="n">
        <v>65</v>
      </c>
      <c r="C70" s="23" t="str">
        <f aca="false">IFERROR(INDEX(SearchDB!$A$2:$A$2222,MATCH(65,SearchDB!$L$2:$L$2222,0)),"")</f>
        <v/>
      </c>
      <c r="D70" s="23" t="str">
        <f aca="false">IFERROR(INDEX(SearchDB!$B$2:$B$2222,MATCH(65,SearchDB!$L$2:$L$2222,0)),"")</f>
        <v/>
      </c>
      <c r="E70" s="22" t="str">
        <f aca="false">IFERROR(INDEX(SearchDB!$C$2:$C$2222,MATCH(65,SearchDB!$L$2:$L$2222,0)),"")</f>
        <v/>
      </c>
      <c r="F70" s="23" t="str">
        <f aca="false">IFERROR(IF(INDEX(SearchDB!$D$2:$D$2222,MATCH(65,SearchDB!$L$2:$L$2222,0))=0,"",INDEX(SearchDB!$D$2:$D$2222,MATCH(65,SearchDB!$L$2:$L$2222,0))),"")</f>
        <v/>
      </c>
      <c r="G70" s="23" t="str">
        <f aca="false">IFERROR(IF(INDEX(SearchDB!$E$2:$E$2222,MATCH(65,SearchDB!$L$2:$L$2222,0))=0,"",INDEX(SearchDB!$E$2:$E$2222,MATCH(65,SearchDB!$L$2:$L$2222,0))),"")</f>
        <v/>
      </c>
      <c r="H70" s="23" t="str">
        <f aca="false">IFERROR(IF(INDEX(SearchDB!$F$2:$F$2222,MATCH(65,SearchDB!$L$2:$L$2222,0))=0,"",INDEX(SearchDB!$F$2:$F$2222,MATCH(65,SearchDB!$L$2:$L$2222,0))),"")</f>
        <v/>
      </c>
      <c r="I70" s="23" t="str">
        <f aca="false">IFERROR(IF(INDEX(SearchDB!$G$2:$G$2222,MATCH(65,SearchDB!$L$2:$L$2222,0))=0,"",INDEX(SearchDB!$G$2:$G$2222,MATCH(65,SearchDB!$L$2:$L$2222,0))),"")</f>
        <v/>
      </c>
      <c r="J70" s="23" t="str">
        <f aca="false">IFERROR(IF(INDEX(SearchDB!$H$2:$H$2222,MATCH(65,SearchDB!$L$2:$L$2222,0))=0,"",INDEX(SearchDB!$H$2:$H$2222,MATCH(65,SearchDB!$L$2:$L$2222,0))),"")</f>
        <v/>
      </c>
      <c r="K70" s="24"/>
    </row>
    <row r="71" customFormat="false" ht="19.5" hidden="false" customHeight="true" outlineLevel="0" collapsed="false">
      <c r="A71" s="2"/>
      <c r="B71" s="25" t="n">
        <v>66</v>
      </c>
      <c r="C71" s="26" t="str">
        <f aca="false">IFERROR(INDEX(SearchDB!$A$2:$A$2222,MATCH(66,SearchDB!$L$2:$L$2222,0)),"")</f>
        <v/>
      </c>
      <c r="D71" s="26" t="str">
        <f aca="false">IFERROR(INDEX(SearchDB!$B$2:$B$2222,MATCH(66,SearchDB!$L$2:$L$2222,0)),"")</f>
        <v/>
      </c>
      <c r="E71" s="25" t="str">
        <f aca="false">IFERROR(INDEX(SearchDB!$C$2:$C$2222,MATCH(66,SearchDB!$L$2:$L$2222,0)),"")</f>
        <v/>
      </c>
      <c r="F71" s="26" t="str">
        <f aca="false">IFERROR(IF(INDEX(SearchDB!$D$2:$D$2222,MATCH(66,SearchDB!$L$2:$L$2222,0))=0,"",INDEX(SearchDB!$D$2:$D$2222,MATCH(66,SearchDB!$L$2:$L$2222,0))),"")</f>
        <v/>
      </c>
      <c r="G71" s="26" t="str">
        <f aca="false">IFERROR(IF(INDEX(SearchDB!$E$2:$E$2222,MATCH(66,SearchDB!$L$2:$L$2222,0))=0,"",INDEX(SearchDB!$E$2:$E$2222,MATCH(66,SearchDB!$L$2:$L$2222,0))),"")</f>
        <v/>
      </c>
      <c r="H71" s="26" t="str">
        <f aca="false">IFERROR(IF(INDEX(SearchDB!$F$2:$F$2222,MATCH(66,SearchDB!$L$2:$L$2222,0))=0,"",INDEX(SearchDB!$F$2:$F$2222,MATCH(66,SearchDB!$L$2:$L$2222,0))),"")</f>
        <v/>
      </c>
      <c r="I71" s="26" t="str">
        <f aca="false">IFERROR(IF(INDEX(SearchDB!$G$2:$G$2222,MATCH(66,SearchDB!$L$2:$L$2222,0))=0,"",INDEX(SearchDB!$G$2:$G$2222,MATCH(66,SearchDB!$L$2:$L$2222,0))),"")</f>
        <v/>
      </c>
      <c r="J71" s="26" t="str">
        <f aca="false">IFERROR(IF(INDEX(SearchDB!$H$2:$H$2222,MATCH(66,SearchDB!$L$2:$L$2222,0))=0,"",INDEX(SearchDB!$H$2:$H$2222,MATCH(66,SearchDB!$L$2:$L$2222,0))),"")</f>
        <v/>
      </c>
      <c r="K71" s="24"/>
    </row>
    <row r="72" customFormat="false" ht="19.5" hidden="false" customHeight="true" outlineLevel="0" collapsed="false">
      <c r="A72" s="2"/>
      <c r="B72" s="22" t="n">
        <v>67</v>
      </c>
      <c r="C72" s="23" t="str">
        <f aca="false">IFERROR(INDEX(SearchDB!$A$2:$A$2222,MATCH(67,SearchDB!$L$2:$L$2222,0)),"")</f>
        <v/>
      </c>
      <c r="D72" s="23" t="str">
        <f aca="false">IFERROR(INDEX(SearchDB!$B$2:$B$2222,MATCH(67,SearchDB!$L$2:$L$2222,0)),"")</f>
        <v/>
      </c>
      <c r="E72" s="22" t="str">
        <f aca="false">IFERROR(INDEX(SearchDB!$C$2:$C$2222,MATCH(67,SearchDB!$L$2:$L$2222,0)),"")</f>
        <v/>
      </c>
      <c r="F72" s="23" t="str">
        <f aca="false">IFERROR(IF(INDEX(SearchDB!$D$2:$D$2222,MATCH(67,SearchDB!$L$2:$L$2222,0))=0,"",INDEX(SearchDB!$D$2:$D$2222,MATCH(67,SearchDB!$L$2:$L$2222,0))),"")</f>
        <v/>
      </c>
      <c r="G72" s="23" t="str">
        <f aca="false">IFERROR(IF(INDEX(SearchDB!$E$2:$E$2222,MATCH(67,SearchDB!$L$2:$L$2222,0))=0,"",INDEX(SearchDB!$E$2:$E$2222,MATCH(67,SearchDB!$L$2:$L$2222,0))),"")</f>
        <v/>
      </c>
      <c r="H72" s="23" t="str">
        <f aca="false">IFERROR(IF(INDEX(SearchDB!$F$2:$F$2222,MATCH(67,SearchDB!$L$2:$L$2222,0))=0,"",INDEX(SearchDB!$F$2:$F$2222,MATCH(67,SearchDB!$L$2:$L$2222,0))),"")</f>
        <v/>
      </c>
      <c r="I72" s="23" t="str">
        <f aca="false">IFERROR(IF(INDEX(SearchDB!$G$2:$G$2222,MATCH(67,SearchDB!$L$2:$L$2222,0))=0,"",INDEX(SearchDB!$G$2:$G$2222,MATCH(67,SearchDB!$L$2:$L$2222,0))),"")</f>
        <v/>
      </c>
      <c r="J72" s="23" t="str">
        <f aca="false">IFERROR(IF(INDEX(SearchDB!$H$2:$H$2222,MATCH(67,SearchDB!$L$2:$L$2222,0))=0,"",INDEX(SearchDB!$H$2:$H$2222,MATCH(67,SearchDB!$L$2:$L$2222,0))),"")</f>
        <v/>
      </c>
      <c r="K72" s="24"/>
    </row>
    <row r="73" customFormat="false" ht="19.5" hidden="false" customHeight="true" outlineLevel="0" collapsed="false">
      <c r="A73" s="2"/>
      <c r="B73" s="25" t="n">
        <v>68</v>
      </c>
      <c r="C73" s="26" t="str">
        <f aca="false">IFERROR(INDEX(SearchDB!$A$2:$A$2222,MATCH(68,SearchDB!$L$2:$L$2222,0)),"")</f>
        <v/>
      </c>
      <c r="D73" s="26" t="str">
        <f aca="false">IFERROR(INDEX(SearchDB!$B$2:$B$2222,MATCH(68,SearchDB!$L$2:$L$2222,0)),"")</f>
        <v/>
      </c>
      <c r="E73" s="25" t="str">
        <f aca="false">IFERROR(INDEX(SearchDB!$C$2:$C$2222,MATCH(68,SearchDB!$L$2:$L$2222,0)),"")</f>
        <v/>
      </c>
      <c r="F73" s="26" t="str">
        <f aca="false">IFERROR(IF(INDEX(SearchDB!$D$2:$D$2222,MATCH(68,SearchDB!$L$2:$L$2222,0))=0,"",INDEX(SearchDB!$D$2:$D$2222,MATCH(68,SearchDB!$L$2:$L$2222,0))),"")</f>
        <v/>
      </c>
      <c r="G73" s="26" t="str">
        <f aca="false">IFERROR(IF(INDEX(SearchDB!$E$2:$E$2222,MATCH(68,SearchDB!$L$2:$L$2222,0))=0,"",INDEX(SearchDB!$E$2:$E$2222,MATCH(68,SearchDB!$L$2:$L$2222,0))),"")</f>
        <v/>
      </c>
      <c r="H73" s="26" t="str">
        <f aca="false">IFERROR(IF(INDEX(SearchDB!$F$2:$F$2222,MATCH(68,SearchDB!$L$2:$L$2222,0))=0,"",INDEX(SearchDB!$F$2:$F$2222,MATCH(68,SearchDB!$L$2:$L$2222,0))),"")</f>
        <v/>
      </c>
      <c r="I73" s="26" t="str">
        <f aca="false">IFERROR(IF(INDEX(SearchDB!$G$2:$G$2222,MATCH(68,SearchDB!$L$2:$L$2222,0))=0,"",INDEX(SearchDB!$G$2:$G$2222,MATCH(68,SearchDB!$L$2:$L$2222,0))),"")</f>
        <v/>
      </c>
      <c r="J73" s="26" t="str">
        <f aca="false">IFERROR(IF(INDEX(SearchDB!$H$2:$H$2222,MATCH(68,SearchDB!$L$2:$L$2222,0))=0,"",INDEX(SearchDB!$H$2:$H$2222,MATCH(68,SearchDB!$L$2:$L$2222,0))),"")</f>
        <v/>
      </c>
      <c r="K73" s="24"/>
    </row>
    <row r="74" customFormat="false" ht="19.5" hidden="false" customHeight="true" outlineLevel="0" collapsed="false">
      <c r="A74" s="2"/>
      <c r="B74" s="22" t="n">
        <v>69</v>
      </c>
      <c r="C74" s="23" t="str">
        <f aca="false">IFERROR(INDEX(SearchDB!$A$2:$A$2222,MATCH(69,SearchDB!$L$2:$L$2222,0)),"")</f>
        <v/>
      </c>
      <c r="D74" s="23" t="str">
        <f aca="false">IFERROR(INDEX(SearchDB!$B$2:$B$2222,MATCH(69,SearchDB!$L$2:$L$2222,0)),"")</f>
        <v/>
      </c>
      <c r="E74" s="22" t="str">
        <f aca="false">IFERROR(INDEX(SearchDB!$C$2:$C$2222,MATCH(69,SearchDB!$L$2:$L$2222,0)),"")</f>
        <v/>
      </c>
      <c r="F74" s="23" t="str">
        <f aca="false">IFERROR(IF(INDEX(SearchDB!$D$2:$D$2222,MATCH(69,SearchDB!$L$2:$L$2222,0))=0,"",INDEX(SearchDB!$D$2:$D$2222,MATCH(69,SearchDB!$L$2:$L$2222,0))),"")</f>
        <v/>
      </c>
      <c r="G74" s="23" t="str">
        <f aca="false">IFERROR(IF(INDEX(SearchDB!$E$2:$E$2222,MATCH(69,SearchDB!$L$2:$L$2222,0))=0,"",INDEX(SearchDB!$E$2:$E$2222,MATCH(69,SearchDB!$L$2:$L$2222,0))),"")</f>
        <v/>
      </c>
      <c r="H74" s="23" t="str">
        <f aca="false">IFERROR(IF(INDEX(SearchDB!$F$2:$F$2222,MATCH(69,SearchDB!$L$2:$L$2222,0))=0,"",INDEX(SearchDB!$F$2:$F$2222,MATCH(69,SearchDB!$L$2:$L$2222,0))),"")</f>
        <v/>
      </c>
      <c r="I74" s="23" t="str">
        <f aca="false">IFERROR(IF(INDEX(SearchDB!$G$2:$G$2222,MATCH(69,SearchDB!$L$2:$L$2222,0))=0,"",INDEX(SearchDB!$G$2:$G$2222,MATCH(69,SearchDB!$L$2:$L$2222,0))),"")</f>
        <v/>
      </c>
      <c r="J74" s="23" t="str">
        <f aca="false">IFERROR(IF(INDEX(SearchDB!$H$2:$H$2222,MATCH(69,SearchDB!$L$2:$L$2222,0))=0,"",INDEX(SearchDB!$H$2:$H$2222,MATCH(69,SearchDB!$L$2:$L$2222,0))),"")</f>
        <v/>
      </c>
      <c r="K74" s="24"/>
    </row>
    <row r="75" customFormat="false" ht="19.5" hidden="false" customHeight="true" outlineLevel="0" collapsed="false">
      <c r="A75" s="2"/>
      <c r="B75" s="25" t="n">
        <v>70</v>
      </c>
      <c r="C75" s="26" t="str">
        <f aca="false">IFERROR(INDEX(SearchDB!$A$2:$A$2222,MATCH(70,SearchDB!$L$2:$L$2222,0)),"")</f>
        <v/>
      </c>
      <c r="D75" s="26" t="str">
        <f aca="false">IFERROR(INDEX(SearchDB!$B$2:$B$2222,MATCH(70,SearchDB!$L$2:$L$2222,0)),"")</f>
        <v/>
      </c>
      <c r="E75" s="25" t="str">
        <f aca="false">IFERROR(INDEX(SearchDB!$C$2:$C$2222,MATCH(70,SearchDB!$L$2:$L$2222,0)),"")</f>
        <v/>
      </c>
      <c r="F75" s="26" t="str">
        <f aca="false">IFERROR(IF(INDEX(SearchDB!$D$2:$D$2222,MATCH(70,SearchDB!$L$2:$L$2222,0))=0,"",INDEX(SearchDB!$D$2:$D$2222,MATCH(70,SearchDB!$L$2:$L$2222,0))),"")</f>
        <v/>
      </c>
      <c r="G75" s="26" t="str">
        <f aca="false">IFERROR(IF(INDEX(SearchDB!$E$2:$E$2222,MATCH(70,SearchDB!$L$2:$L$2222,0))=0,"",INDEX(SearchDB!$E$2:$E$2222,MATCH(70,SearchDB!$L$2:$L$2222,0))),"")</f>
        <v/>
      </c>
      <c r="H75" s="26" t="str">
        <f aca="false">IFERROR(IF(INDEX(SearchDB!$F$2:$F$2222,MATCH(70,SearchDB!$L$2:$L$2222,0))=0,"",INDEX(SearchDB!$F$2:$F$2222,MATCH(70,SearchDB!$L$2:$L$2222,0))),"")</f>
        <v/>
      </c>
      <c r="I75" s="26" t="str">
        <f aca="false">IFERROR(IF(INDEX(SearchDB!$G$2:$G$2222,MATCH(70,SearchDB!$L$2:$L$2222,0))=0,"",INDEX(SearchDB!$G$2:$G$2222,MATCH(70,SearchDB!$L$2:$L$2222,0))),"")</f>
        <v/>
      </c>
      <c r="J75" s="26" t="str">
        <f aca="false">IFERROR(IF(INDEX(SearchDB!$H$2:$H$2222,MATCH(70,SearchDB!$L$2:$L$2222,0))=0,"",INDEX(SearchDB!$H$2:$H$2222,MATCH(70,SearchDB!$L$2:$L$2222,0))),"")</f>
        <v/>
      </c>
      <c r="K75" s="24"/>
    </row>
    <row r="76" customFormat="false" ht="19.5" hidden="false" customHeight="true" outlineLevel="0" collapsed="false">
      <c r="A76" s="2"/>
      <c r="B76" s="22" t="n">
        <v>71</v>
      </c>
      <c r="C76" s="23" t="str">
        <f aca="false">IFERROR(INDEX(SearchDB!$A$2:$A$2222,MATCH(71,SearchDB!$L$2:$L$2222,0)),"")</f>
        <v/>
      </c>
      <c r="D76" s="23" t="str">
        <f aca="false">IFERROR(INDEX(SearchDB!$B$2:$B$2222,MATCH(71,SearchDB!$L$2:$L$2222,0)),"")</f>
        <v/>
      </c>
      <c r="E76" s="22" t="str">
        <f aca="false">IFERROR(INDEX(SearchDB!$C$2:$C$2222,MATCH(71,SearchDB!$L$2:$L$2222,0)),"")</f>
        <v/>
      </c>
      <c r="F76" s="23" t="str">
        <f aca="false">IFERROR(IF(INDEX(SearchDB!$D$2:$D$2222,MATCH(71,SearchDB!$L$2:$L$2222,0))=0,"",INDEX(SearchDB!$D$2:$D$2222,MATCH(71,SearchDB!$L$2:$L$2222,0))),"")</f>
        <v/>
      </c>
      <c r="G76" s="23" t="str">
        <f aca="false">IFERROR(IF(INDEX(SearchDB!$E$2:$E$2222,MATCH(71,SearchDB!$L$2:$L$2222,0))=0,"",INDEX(SearchDB!$E$2:$E$2222,MATCH(71,SearchDB!$L$2:$L$2222,0))),"")</f>
        <v/>
      </c>
      <c r="H76" s="23" t="str">
        <f aca="false">IFERROR(IF(INDEX(SearchDB!$F$2:$F$2222,MATCH(71,SearchDB!$L$2:$L$2222,0))=0,"",INDEX(SearchDB!$F$2:$F$2222,MATCH(71,SearchDB!$L$2:$L$2222,0))),"")</f>
        <v/>
      </c>
      <c r="I76" s="23" t="str">
        <f aca="false">IFERROR(IF(INDEX(SearchDB!$G$2:$G$2222,MATCH(71,SearchDB!$L$2:$L$2222,0))=0,"",INDEX(SearchDB!$G$2:$G$2222,MATCH(71,SearchDB!$L$2:$L$2222,0))),"")</f>
        <v/>
      </c>
      <c r="J76" s="23" t="str">
        <f aca="false">IFERROR(IF(INDEX(SearchDB!$H$2:$H$2222,MATCH(71,SearchDB!$L$2:$L$2222,0))=0,"",INDEX(SearchDB!$H$2:$H$2222,MATCH(71,SearchDB!$L$2:$L$2222,0))),"")</f>
        <v/>
      </c>
      <c r="K76" s="24"/>
    </row>
    <row r="77" customFormat="false" ht="19.5" hidden="false" customHeight="true" outlineLevel="0" collapsed="false">
      <c r="A77" s="2"/>
      <c r="B77" s="25" t="n">
        <v>72</v>
      </c>
      <c r="C77" s="26" t="str">
        <f aca="false">IFERROR(INDEX(SearchDB!$A$2:$A$2222,MATCH(72,SearchDB!$L$2:$L$2222,0)),"")</f>
        <v/>
      </c>
      <c r="D77" s="26" t="str">
        <f aca="false">IFERROR(INDEX(SearchDB!$B$2:$B$2222,MATCH(72,SearchDB!$L$2:$L$2222,0)),"")</f>
        <v/>
      </c>
      <c r="E77" s="25" t="str">
        <f aca="false">IFERROR(INDEX(SearchDB!$C$2:$C$2222,MATCH(72,SearchDB!$L$2:$L$2222,0)),"")</f>
        <v/>
      </c>
      <c r="F77" s="26" t="str">
        <f aca="false">IFERROR(IF(INDEX(SearchDB!$D$2:$D$2222,MATCH(72,SearchDB!$L$2:$L$2222,0))=0,"",INDEX(SearchDB!$D$2:$D$2222,MATCH(72,SearchDB!$L$2:$L$2222,0))),"")</f>
        <v/>
      </c>
      <c r="G77" s="26" t="str">
        <f aca="false">IFERROR(IF(INDEX(SearchDB!$E$2:$E$2222,MATCH(72,SearchDB!$L$2:$L$2222,0))=0,"",INDEX(SearchDB!$E$2:$E$2222,MATCH(72,SearchDB!$L$2:$L$2222,0))),"")</f>
        <v/>
      </c>
      <c r="H77" s="26" t="str">
        <f aca="false">IFERROR(IF(INDEX(SearchDB!$F$2:$F$2222,MATCH(72,SearchDB!$L$2:$L$2222,0))=0,"",INDEX(SearchDB!$F$2:$F$2222,MATCH(72,SearchDB!$L$2:$L$2222,0))),"")</f>
        <v/>
      </c>
      <c r="I77" s="26" t="str">
        <f aca="false">IFERROR(IF(INDEX(SearchDB!$G$2:$G$2222,MATCH(72,SearchDB!$L$2:$L$2222,0))=0,"",INDEX(SearchDB!$G$2:$G$2222,MATCH(72,SearchDB!$L$2:$L$2222,0))),"")</f>
        <v/>
      </c>
      <c r="J77" s="26" t="str">
        <f aca="false">IFERROR(IF(INDEX(SearchDB!$H$2:$H$2222,MATCH(72,SearchDB!$L$2:$L$2222,0))=0,"",INDEX(SearchDB!$H$2:$H$2222,MATCH(72,SearchDB!$L$2:$L$2222,0))),"")</f>
        <v/>
      </c>
      <c r="K77" s="24"/>
    </row>
    <row r="78" customFormat="false" ht="19.5" hidden="false" customHeight="true" outlineLevel="0" collapsed="false">
      <c r="A78" s="2"/>
      <c r="B78" s="22" t="n">
        <v>73</v>
      </c>
      <c r="C78" s="23" t="str">
        <f aca="false">IFERROR(INDEX(SearchDB!$A$2:$A$2222,MATCH(73,SearchDB!$L$2:$L$2222,0)),"")</f>
        <v/>
      </c>
      <c r="D78" s="23" t="str">
        <f aca="false">IFERROR(INDEX(SearchDB!$B$2:$B$2222,MATCH(73,SearchDB!$L$2:$L$2222,0)),"")</f>
        <v/>
      </c>
      <c r="E78" s="22" t="str">
        <f aca="false">IFERROR(INDEX(SearchDB!$C$2:$C$2222,MATCH(73,SearchDB!$L$2:$L$2222,0)),"")</f>
        <v/>
      </c>
      <c r="F78" s="23" t="str">
        <f aca="false">IFERROR(IF(INDEX(SearchDB!$D$2:$D$2222,MATCH(73,SearchDB!$L$2:$L$2222,0))=0,"",INDEX(SearchDB!$D$2:$D$2222,MATCH(73,SearchDB!$L$2:$L$2222,0))),"")</f>
        <v/>
      </c>
      <c r="G78" s="23" t="str">
        <f aca="false">IFERROR(IF(INDEX(SearchDB!$E$2:$E$2222,MATCH(73,SearchDB!$L$2:$L$2222,0))=0,"",INDEX(SearchDB!$E$2:$E$2222,MATCH(73,SearchDB!$L$2:$L$2222,0))),"")</f>
        <v/>
      </c>
      <c r="H78" s="23" t="str">
        <f aca="false">IFERROR(IF(INDEX(SearchDB!$F$2:$F$2222,MATCH(73,SearchDB!$L$2:$L$2222,0))=0,"",INDEX(SearchDB!$F$2:$F$2222,MATCH(73,SearchDB!$L$2:$L$2222,0))),"")</f>
        <v/>
      </c>
      <c r="I78" s="23" t="str">
        <f aca="false">IFERROR(IF(INDEX(SearchDB!$G$2:$G$2222,MATCH(73,SearchDB!$L$2:$L$2222,0))=0,"",INDEX(SearchDB!$G$2:$G$2222,MATCH(73,SearchDB!$L$2:$L$2222,0))),"")</f>
        <v/>
      </c>
      <c r="J78" s="23" t="str">
        <f aca="false">IFERROR(IF(INDEX(SearchDB!$H$2:$H$2222,MATCH(73,SearchDB!$L$2:$L$2222,0))=0,"",INDEX(SearchDB!$H$2:$H$2222,MATCH(73,SearchDB!$L$2:$L$2222,0))),"")</f>
        <v/>
      </c>
      <c r="K78" s="24"/>
    </row>
    <row r="79" customFormat="false" ht="19.5" hidden="false" customHeight="true" outlineLevel="0" collapsed="false">
      <c r="A79" s="2"/>
      <c r="B79" s="25" t="n">
        <v>74</v>
      </c>
      <c r="C79" s="26" t="str">
        <f aca="false">IFERROR(INDEX(SearchDB!$A$2:$A$2222,MATCH(74,SearchDB!$L$2:$L$2222,0)),"")</f>
        <v/>
      </c>
      <c r="D79" s="26" t="str">
        <f aca="false">IFERROR(INDEX(SearchDB!$B$2:$B$2222,MATCH(74,SearchDB!$L$2:$L$2222,0)),"")</f>
        <v/>
      </c>
      <c r="E79" s="25" t="str">
        <f aca="false">IFERROR(INDEX(SearchDB!$C$2:$C$2222,MATCH(74,SearchDB!$L$2:$L$2222,0)),"")</f>
        <v/>
      </c>
      <c r="F79" s="26" t="str">
        <f aca="false">IFERROR(IF(INDEX(SearchDB!$D$2:$D$2222,MATCH(74,SearchDB!$L$2:$L$2222,0))=0,"",INDEX(SearchDB!$D$2:$D$2222,MATCH(74,SearchDB!$L$2:$L$2222,0))),"")</f>
        <v/>
      </c>
      <c r="G79" s="26" t="str">
        <f aca="false">IFERROR(IF(INDEX(SearchDB!$E$2:$E$2222,MATCH(74,SearchDB!$L$2:$L$2222,0))=0,"",INDEX(SearchDB!$E$2:$E$2222,MATCH(74,SearchDB!$L$2:$L$2222,0))),"")</f>
        <v/>
      </c>
      <c r="H79" s="26" t="str">
        <f aca="false">IFERROR(IF(INDEX(SearchDB!$F$2:$F$2222,MATCH(74,SearchDB!$L$2:$L$2222,0))=0,"",INDEX(SearchDB!$F$2:$F$2222,MATCH(74,SearchDB!$L$2:$L$2222,0))),"")</f>
        <v/>
      </c>
      <c r="I79" s="26" t="str">
        <f aca="false">IFERROR(IF(INDEX(SearchDB!$G$2:$G$2222,MATCH(74,SearchDB!$L$2:$L$2222,0))=0,"",INDEX(SearchDB!$G$2:$G$2222,MATCH(74,SearchDB!$L$2:$L$2222,0))),"")</f>
        <v/>
      </c>
      <c r="J79" s="26" t="str">
        <f aca="false">IFERROR(IF(INDEX(SearchDB!$H$2:$H$2222,MATCH(74,SearchDB!$L$2:$L$2222,0))=0,"",INDEX(SearchDB!$H$2:$H$2222,MATCH(74,SearchDB!$L$2:$L$2222,0))),"")</f>
        <v/>
      </c>
      <c r="K79" s="24"/>
    </row>
    <row r="80" customFormat="false" ht="19.5" hidden="false" customHeight="true" outlineLevel="0" collapsed="false">
      <c r="A80" s="2"/>
      <c r="B80" s="22" t="n">
        <v>75</v>
      </c>
      <c r="C80" s="23" t="str">
        <f aca="false">IFERROR(INDEX(SearchDB!$A$2:$A$2222,MATCH(75,SearchDB!$L$2:$L$2222,0)),"")</f>
        <v/>
      </c>
      <c r="D80" s="23" t="str">
        <f aca="false">IFERROR(INDEX(SearchDB!$B$2:$B$2222,MATCH(75,SearchDB!$L$2:$L$2222,0)),"")</f>
        <v/>
      </c>
      <c r="E80" s="22" t="str">
        <f aca="false">IFERROR(INDEX(SearchDB!$C$2:$C$2222,MATCH(75,SearchDB!$L$2:$L$2222,0)),"")</f>
        <v/>
      </c>
      <c r="F80" s="23" t="str">
        <f aca="false">IFERROR(IF(INDEX(SearchDB!$D$2:$D$2222,MATCH(75,SearchDB!$L$2:$L$2222,0))=0,"",INDEX(SearchDB!$D$2:$D$2222,MATCH(75,SearchDB!$L$2:$L$2222,0))),"")</f>
        <v/>
      </c>
      <c r="G80" s="23" t="str">
        <f aca="false">IFERROR(IF(INDEX(SearchDB!$E$2:$E$2222,MATCH(75,SearchDB!$L$2:$L$2222,0))=0,"",INDEX(SearchDB!$E$2:$E$2222,MATCH(75,SearchDB!$L$2:$L$2222,0))),"")</f>
        <v/>
      </c>
      <c r="H80" s="23" t="str">
        <f aca="false">IFERROR(IF(INDEX(SearchDB!$F$2:$F$2222,MATCH(75,SearchDB!$L$2:$L$2222,0))=0,"",INDEX(SearchDB!$F$2:$F$2222,MATCH(75,SearchDB!$L$2:$L$2222,0))),"")</f>
        <v/>
      </c>
      <c r="I80" s="23" t="str">
        <f aca="false">IFERROR(IF(INDEX(SearchDB!$G$2:$G$2222,MATCH(75,SearchDB!$L$2:$L$2222,0))=0,"",INDEX(SearchDB!$G$2:$G$2222,MATCH(75,SearchDB!$L$2:$L$2222,0))),"")</f>
        <v/>
      </c>
      <c r="J80" s="23" t="str">
        <f aca="false">IFERROR(IF(INDEX(SearchDB!$H$2:$H$2222,MATCH(75,SearchDB!$L$2:$L$2222,0))=0,"",INDEX(SearchDB!$H$2:$H$2222,MATCH(75,SearchDB!$L$2:$L$2222,0))),"")</f>
        <v/>
      </c>
      <c r="K80" s="24"/>
    </row>
    <row r="81" customFormat="false" ht="19.5" hidden="false" customHeight="true" outlineLevel="0" collapsed="false">
      <c r="A81" s="2"/>
      <c r="B81" s="25" t="n">
        <v>76</v>
      </c>
      <c r="C81" s="26" t="str">
        <f aca="false">IFERROR(INDEX(SearchDB!$A$2:$A$2222,MATCH(76,SearchDB!$L$2:$L$2222,0)),"")</f>
        <v/>
      </c>
      <c r="D81" s="26" t="str">
        <f aca="false">IFERROR(INDEX(SearchDB!$B$2:$B$2222,MATCH(76,SearchDB!$L$2:$L$2222,0)),"")</f>
        <v/>
      </c>
      <c r="E81" s="25" t="str">
        <f aca="false">IFERROR(INDEX(SearchDB!$C$2:$C$2222,MATCH(76,SearchDB!$L$2:$L$2222,0)),"")</f>
        <v/>
      </c>
      <c r="F81" s="26" t="str">
        <f aca="false">IFERROR(IF(INDEX(SearchDB!$D$2:$D$2222,MATCH(76,SearchDB!$L$2:$L$2222,0))=0,"",INDEX(SearchDB!$D$2:$D$2222,MATCH(76,SearchDB!$L$2:$L$2222,0))),"")</f>
        <v/>
      </c>
      <c r="G81" s="26" t="str">
        <f aca="false">IFERROR(IF(INDEX(SearchDB!$E$2:$E$2222,MATCH(76,SearchDB!$L$2:$L$2222,0))=0,"",INDEX(SearchDB!$E$2:$E$2222,MATCH(76,SearchDB!$L$2:$L$2222,0))),"")</f>
        <v/>
      </c>
      <c r="H81" s="26" t="str">
        <f aca="false">IFERROR(IF(INDEX(SearchDB!$F$2:$F$2222,MATCH(76,SearchDB!$L$2:$L$2222,0))=0,"",INDEX(SearchDB!$F$2:$F$2222,MATCH(76,SearchDB!$L$2:$L$2222,0))),"")</f>
        <v/>
      </c>
      <c r="I81" s="26" t="str">
        <f aca="false">IFERROR(IF(INDEX(SearchDB!$G$2:$G$2222,MATCH(76,SearchDB!$L$2:$L$2222,0))=0,"",INDEX(SearchDB!$G$2:$G$2222,MATCH(76,SearchDB!$L$2:$L$2222,0))),"")</f>
        <v/>
      </c>
      <c r="J81" s="26" t="str">
        <f aca="false">IFERROR(IF(INDEX(SearchDB!$H$2:$H$2222,MATCH(76,SearchDB!$L$2:$L$2222,0))=0,"",INDEX(SearchDB!$H$2:$H$2222,MATCH(76,SearchDB!$L$2:$L$2222,0))),"")</f>
        <v/>
      </c>
      <c r="K81" s="24"/>
    </row>
    <row r="82" customFormat="false" ht="19.5" hidden="false" customHeight="true" outlineLevel="0" collapsed="false">
      <c r="A82" s="2"/>
      <c r="B82" s="22" t="n">
        <v>77</v>
      </c>
      <c r="C82" s="23" t="str">
        <f aca="false">IFERROR(INDEX(SearchDB!$A$2:$A$2222,MATCH(77,SearchDB!$L$2:$L$2222,0)),"")</f>
        <v/>
      </c>
      <c r="D82" s="23" t="str">
        <f aca="false">IFERROR(INDEX(SearchDB!$B$2:$B$2222,MATCH(77,SearchDB!$L$2:$L$2222,0)),"")</f>
        <v/>
      </c>
      <c r="E82" s="22" t="str">
        <f aca="false">IFERROR(INDEX(SearchDB!$C$2:$C$2222,MATCH(77,SearchDB!$L$2:$L$2222,0)),"")</f>
        <v/>
      </c>
      <c r="F82" s="23" t="str">
        <f aca="false">IFERROR(IF(INDEX(SearchDB!$D$2:$D$2222,MATCH(77,SearchDB!$L$2:$L$2222,0))=0,"",INDEX(SearchDB!$D$2:$D$2222,MATCH(77,SearchDB!$L$2:$L$2222,0))),"")</f>
        <v/>
      </c>
      <c r="G82" s="23" t="str">
        <f aca="false">IFERROR(IF(INDEX(SearchDB!$E$2:$E$2222,MATCH(77,SearchDB!$L$2:$L$2222,0))=0,"",INDEX(SearchDB!$E$2:$E$2222,MATCH(77,SearchDB!$L$2:$L$2222,0))),"")</f>
        <v/>
      </c>
      <c r="H82" s="23" t="str">
        <f aca="false">IFERROR(IF(INDEX(SearchDB!$F$2:$F$2222,MATCH(77,SearchDB!$L$2:$L$2222,0))=0,"",INDEX(SearchDB!$F$2:$F$2222,MATCH(77,SearchDB!$L$2:$L$2222,0))),"")</f>
        <v/>
      </c>
      <c r="I82" s="23" t="str">
        <f aca="false">IFERROR(IF(INDEX(SearchDB!$G$2:$G$2222,MATCH(77,SearchDB!$L$2:$L$2222,0))=0,"",INDEX(SearchDB!$G$2:$G$2222,MATCH(77,SearchDB!$L$2:$L$2222,0))),"")</f>
        <v/>
      </c>
      <c r="J82" s="23" t="str">
        <f aca="false">IFERROR(IF(INDEX(SearchDB!$H$2:$H$2222,MATCH(77,SearchDB!$L$2:$L$2222,0))=0,"",INDEX(SearchDB!$H$2:$H$2222,MATCH(77,SearchDB!$L$2:$L$2222,0))),"")</f>
        <v/>
      </c>
      <c r="K82" s="24"/>
    </row>
    <row r="83" customFormat="false" ht="19.5" hidden="false" customHeight="true" outlineLevel="0" collapsed="false">
      <c r="A83" s="2"/>
      <c r="B83" s="25" t="n">
        <v>78</v>
      </c>
      <c r="C83" s="26" t="str">
        <f aca="false">IFERROR(INDEX(SearchDB!$A$2:$A$2222,MATCH(78,SearchDB!$L$2:$L$2222,0)),"")</f>
        <v/>
      </c>
      <c r="D83" s="26" t="str">
        <f aca="false">IFERROR(INDEX(SearchDB!$B$2:$B$2222,MATCH(78,SearchDB!$L$2:$L$2222,0)),"")</f>
        <v/>
      </c>
      <c r="E83" s="25" t="str">
        <f aca="false">IFERROR(INDEX(SearchDB!$C$2:$C$2222,MATCH(78,SearchDB!$L$2:$L$2222,0)),"")</f>
        <v/>
      </c>
      <c r="F83" s="26" t="str">
        <f aca="false">IFERROR(IF(INDEX(SearchDB!$D$2:$D$2222,MATCH(78,SearchDB!$L$2:$L$2222,0))=0,"",INDEX(SearchDB!$D$2:$D$2222,MATCH(78,SearchDB!$L$2:$L$2222,0))),"")</f>
        <v/>
      </c>
      <c r="G83" s="26" t="str">
        <f aca="false">IFERROR(IF(INDEX(SearchDB!$E$2:$E$2222,MATCH(78,SearchDB!$L$2:$L$2222,0))=0,"",INDEX(SearchDB!$E$2:$E$2222,MATCH(78,SearchDB!$L$2:$L$2222,0))),"")</f>
        <v/>
      </c>
      <c r="H83" s="26" t="str">
        <f aca="false">IFERROR(IF(INDEX(SearchDB!$F$2:$F$2222,MATCH(78,SearchDB!$L$2:$L$2222,0))=0,"",INDEX(SearchDB!$F$2:$F$2222,MATCH(78,SearchDB!$L$2:$L$2222,0))),"")</f>
        <v/>
      </c>
      <c r="I83" s="26" t="str">
        <f aca="false">IFERROR(IF(INDEX(SearchDB!$G$2:$G$2222,MATCH(78,SearchDB!$L$2:$L$2222,0))=0,"",INDEX(SearchDB!$G$2:$G$2222,MATCH(78,SearchDB!$L$2:$L$2222,0))),"")</f>
        <v/>
      </c>
      <c r="J83" s="26" t="str">
        <f aca="false">IFERROR(IF(INDEX(SearchDB!$H$2:$H$2222,MATCH(78,SearchDB!$L$2:$L$2222,0))=0,"",INDEX(SearchDB!$H$2:$H$2222,MATCH(78,SearchDB!$L$2:$L$2222,0))),"")</f>
        <v/>
      </c>
      <c r="K83" s="24"/>
    </row>
    <row r="84" customFormat="false" ht="19.5" hidden="false" customHeight="true" outlineLevel="0" collapsed="false">
      <c r="A84" s="2"/>
      <c r="B84" s="22" t="n">
        <v>79</v>
      </c>
      <c r="C84" s="23" t="str">
        <f aca="false">IFERROR(INDEX(SearchDB!$A$2:$A$2222,MATCH(79,SearchDB!$L$2:$L$2222,0)),"")</f>
        <v/>
      </c>
      <c r="D84" s="23" t="str">
        <f aca="false">IFERROR(INDEX(SearchDB!$B$2:$B$2222,MATCH(79,SearchDB!$L$2:$L$2222,0)),"")</f>
        <v/>
      </c>
      <c r="E84" s="22" t="str">
        <f aca="false">IFERROR(INDEX(SearchDB!$C$2:$C$2222,MATCH(79,SearchDB!$L$2:$L$2222,0)),"")</f>
        <v/>
      </c>
      <c r="F84" s="23" t="str">
        <f aca="false">IFERROR(IF(INDEX(SearchDB!$D$2:$D$2222,MATCH(79,SearchDB!$L$2:$L$2222,0))=0,"",INDEX(SearchDB!$D$2:$D$2222,MATCH(79,SearchDB!$L$2:$L$2222,0))),"")</f>
        <v/>
      </c>
      <c r="G84" s="23" t="str">
        <f aca="false">IFERROR(IF(INDEX(SearchDB!$E$2:$E$2222,MATCH(79,SearchDB!$L$2:$L$2222,0))=0,"",INDEX(SearchDB!$E$2:$E$2222,MATCH(79,SearchDB!$L$2:$L$2222,0))),"")</f>
        <v/>
      </c>
      <c r="H84" s="23" t="str">
        <f aca="false">IFERROR(IF(INDEX(SearchDB!$F$2:$F$2222,MATCH(79,SearchDB!$L$2:$L$2222,0))=0,"",INDEX(SearchDB!$F$2:$F$2222,MATCH(79,SearchDB!$L$2:$L$2222,0))),"")</f>
        <v/>
      </c>
      <c r="I84" s="23" t="str">
        <f aca="false">IFERROR(IF(INDEX(SearchDB!$G$2:$G$2222,MATCH(79,SearchDB!$L$2:$L$2222,0))=0,"",INDEX(SearchDB!$G$2:$G$2222,MATCH(79,SearchDB!$L$2:$L$2222,0))),"")</f>
        <v/>
      </c>
      <c r="J84" s="23" t="str">
        <f aca="false">IFERROR(IF(INDEX(SearchDB!$H$2:$H$2222,MATCH(79,SearchDB!$L$2:$L$2222,0))=0,"",INDEX(SearchDB!$H$2:$H$2222,MATCH(79,SearchDB!$L$2:$L$2222,0))),"")</f>
        <v/>
      </c>
      <c r="K84" s="24"/>
    </row>
    <row r="85" customFormat="false" ht="19.5" hidden="false" customHeight="true" outlineLevel="0" collapsed="false">
      <c r="A85" s="2"/>
      <c r="B85" s="25" t="n">
        <v>80</v>
      </c>
      <c r="C85" s="26" t="str">
        <f aca="false">IFERROR(INDEX(SearchDB!$A$2:$A$2222,MATCH(80,SearchDB!$L$2:$L$2222,0)),"")</f>
        <v/>
      </c>
      <c r="D85" s="26" t="str">
        <f aca="false">IFERROR(INDEX(SearchDB!$B$2:$B$2222,MATCH(80,SearchDB!$L$2:$L$2222,0)),"")</f>
        <v/>
      </c>
      <c r="E85" s="25" t="str">
        <f aca="false">IFERROR(INDEX(SearchDB!$C$2:$C$2222,MATCH(80,SearchDB!$L$2:$L$2222,0)),"")</f>
        <v/>
      </c>
      <c r="F85" s="26" t="str">
        <f aca="false">IFERROR(IF(INDEX(SearchDB!$D$2:$D$2222,MATCH(80,SearchDB!$L$2:$L$2222,0))=0,"",INDEX(SearchDB!$D$2:$D$2222,MATCH(80,SearchDB!$L$2:$L$2222,0))),"")</f>
        <v/>
      </c>
      <c r="G85" s="26" t="str">
        <f aca="false">IFERROR(IF(INDEX(SearchDB!$E$2:$E$2222,MATCH(80,SearchDB!$L$2:$L$2222,0))=0,"",INDEX(SearchDB!$E$2:$E$2222,MATCH(80,SearchDB!$L$2:$L$2222,0))),"")</f>
        <v/>
      </c>
      <c r="H85" s="26" t="str">
        <f aca="false">IFERROR(IF(INDEX(SearchDB!$F$2:$F$2222,MATCH(80,SearchDB!$L$2:$L$2222,0))=0,"",INDEX(SearchDB!$F$2:$F$2222,MATCH(80,SearchDB!$L$2:$L$2222,0))),"")</f>
        <v/>
      </c>
      <c r="I85" s="26" t="str">
        <f aca="false">IFERROR(IF(INDEX(SearchDB!$G$2:$G$2222,MATCH(80,SearchDB!$L$2:$L$2222,0))=0,"",INDEX(SearchDB!$G$2:$G$2222,MATCH(80,SearchDB!$L$2:$L$2222,0))),"")</f>
        <v/>
      </c>
      <c r="J85" s="26" t="str">
        <f aca="false">IFERROR(IF(INDEX(SearchDB!$H$2:$H$2222,MATCH(80,SearchDB!$L$2:$L$2222,0))=0,"",INDEX(SearchDB!$H$2:$H$2222,MATCH(80,SearchDB!$L$2:$L$2222,0))),"")</f>
        <v/>
      </c>
      <c r="K85" s="24"/>
    </row>
    <row r="86" customFormat="false" ht="19.5" hidden="false" customHeight="true" outlineLevel="0" collapsed="false">
      <c r="A86" s="2"/>
      <c r="B86" s="22" t="n">
        <v>81</v>
      </c>
      <c r="C86" s="23" t="str">
        <f aca="false">IFERROR(INDEX(SearchDB!$A$2:$A$2222,MATCH(81,SearchDB!$L$2:$L$2222,0)),"")</f>
        <v/>
      </c>
      <c r="D86" s="23" t="str">
        <f aca="false">IFERROR(INDEX(SearchDB!$B$2:$B$2222,MATCH(81,SearchDB!$L$2:$L$2222,0)),"")</f>
        <v/>
      </c>
      <c r="E86" s="22" t="str">
        <f aca="false">IFERROR(INDEX(SearchDB!$C$2:$C$2222,MATCH(81,SearchDB!$L$2:$L$2222,0)),"")</f>
        <v/>
      </c>
      <c r="F86" s="23" t="str">
        <f aca="false">IFERROR(IF(INDEX(SearchDB!$D$2:$D$2222,MATCH(81,SearchDB!$L$2:$L$2222,0))=0,"",INDEX(SearchDB!$D$2:$D$2222,MATCH(81,SearchDB!$L$2:$L$2222,0))),"")</f>
        <v/>
      </c>
      <c r="G86" s="23" t="str">
        <f aca="false">IFERROR(IF(INDEX(SearchDB!$E$2:$E$2222,MATCH(81,SearchDB!$L$2:$L$2222,0))=0,"",INDEX(SearchDB!$E$2:$E$2222,MATCH(81,SearchDB!$L$2:$L$2222,0))),"")</f>
        <v/>
      </c>
      <c r="H86" s="23" t="str">
        <f aca="false">IFERROR(IF(INDEX(SearchDB!$F$2:$F$2222,MATCH(81,SearchDB!$L$2:$L$2222,0))=0,"",INDEX(SearchDB!$F$2:$F$2222,MATCH(81,SearchDB!$L$2:$L$2222,0))),"")</f>
        <v/>
      </c>
      <c r="I86" s="23" t="str">
        <f aca="false">IFERROR(IF(INDEX(SearchDB!$G$2:$G$2222,MATCH(81,SearchDB!$L$2:$L$2222,0))=0,"",INDEX(SearchDB!$G$2:$G$2222,MATCH(81,SearchDB!$L$2:$L$2222,0))),"")</f>
        <v/>
      </c>
      <c r="J86" s="23" t="str">
        <f aca="false">IFERROR(IF(INDEX(SearchDB!$H$2:$H$2222,MATCH(81,SearchDB!$L$2:$L$2222,0))=0,"",INDEX(SearchDB!$H$2:$H$2222,MATCH(81,SearchDB!$L$2:$L$2222,0))),"")</f>
        <v/>
      </c>
      <c r="K86" s="24"/>
    </row>
    <row r="87" customFormat="false" ht="19.5" hidden="false" customHeight="true" outlineLevel="0" collapsed="false">
      <c r="A87" s="2"/>
      <c r="B87" s="25" t="n">
        <v>82</v>
      </c>
      <c r="C87" s="26" t="str">
        <f aca="false">IFERROR(INDEX(SearchDB!$A$2:$A$2222,MATCH(82,SearchDB!$L$2:$L$2222,0)),"")</f>
        <v/>
      </c>
      <c r="D87" s="26" t="str">
        <f aca="false">IFERROR(INDEX(SearchDB!$B$2:$B$2222,MATCH(82,SearchDB!$L$2:$L$2222,0)),"")</f>
        <v/>
      </c>
      <c r="E87" s="25" t="str">
        <f aca="false">IFERROR(INDEX(SearchDB!$C$2:$C$2222,MATCH(82,SearchDB!$L$2:$L$2222,0)),"")</f>
        <v/>
      </c>
      <c r="F87" s="26" t="str">
        <f aca="false">IFERROR(IF(INDEX(SearchDB!$D$2:$D$2222,MATCH(82,SearchDB!$L$2:$L$2222,0))=0,"",INDEX(SearchDB!$D$2:$D$2222,MATCH(82,SearchDB!$L$2:$L$2222,0))),"")</f>
        <v/>
      </c>
      <c r="G87" s="26" t="str">
        <f aca="false">IFERROR(IF(INDEX(SearchDB!$E$2:$E$2222,MATCH(82,SearchDB!$L$2:$L$2222,0))=0,"",INDEX(SearchDB!$E$2:$E$2222,MATCH(82,SearchDB!$L$2:$L$2222,0))),"")</f>
        <v/>
      </c>
      <c r="H87" s="26" t="str">
        <f aca="false">IFERROR(IF(INDEX(SearchDB!$F$2:$F$2222,MATCH(82,SearchDB!$L$2:$L$2222,0))=0,"",INDEX(SearchDB!$F$2:$F$2222,MATCH(82,SearchDB!$L$2:$L$2222,0))),"")</f>
        <v/>
      </c>
      <c r="I87" s="26" t="str">
        <f aca="false">IFERROR(IF(INDEX(SearchDB!$G$2:$G$2222,MATCH(82,SearchDB!$L$2:$L$2222,0))=0,"",INDEX(SearchDB!$G$2:$G$2222,MATCH(82,SearchDB!$L$2:$L$2222,0))),"")</f>
        <v/>
      </c>
      <c r="J87" s="26" t="str">
        <f aca="false">IFERROR(IF(INDEX(SearchDB!$H$2:$H$2222,MATCH(82,SearchDB!$L$2:$L$2222,0))=0,"",INDEX(SearchDB!$H$2:$H$2222,MATCH(82,SearchDB!$L$2:$L$2222,0))),"")</f>
        <v/>
      </c>
      <c r="K87" s="24"/>
    </row>
    <row r="88" customFormat="false" ht="19.5" hidden="false" customHeight="true" outlineLevel="0" collapsed="false">
      <c r="A88" s="2"/>
      <c r="B88" s="22" t="n">
        <v>83</v>
      </c>
      <c r="C88" s="23" t="str">
        <f aca="false">IFERROR(INDEX(SearchDB!$A$2:$A$2222,MATCH(83,SearchDB!$L$2:$L$2222,0)),"")</f>
        <v/>
      </c>
      <c r="D88" s="23" t="str">
        <f aca="false">IFERROR(INDEX(SearchDB!$B$2:$B$2222,MATCH(83,SearchDB!$L$2:$L$2222,0)),"")</f>
        <v/>
      </c>
      <c r="E88" s="22" t="str">
        <f aca="false">IFERROR(INDEX(SearchDB!$C$2:$C$2222,MATCH(83,SearchDB!$L$2:$L$2222,0)),"")</f>
        <v/>
      </c>
      <c r="F88" s="23" t="str">
        <f aca="false">IFERROR(IF(INDEX(SearchDB!$D$2:$D$2222,MATCH(83,SearchDB!$L$2:$L$2222,0))=0,"",INDEX(SearchDB!$D$2:$D$2222,MATCH(83,SearchDB!$L$2:$L$2222,0))),"")</f>
        <v/>
      </c>
      <c r="G88" s="23" t="str">
        <f aca="false">IFERROR(IF(INDEX(SearchDB!$E$2:$E$2222,MATCH(83,SearchDB!$L$2:$L$2222,0))=0,"",INDEX(SearchDB!$E$2:$E$2222,MATCH(83,SearchDB!$L$2:$L$2222,0))),"")</f>
        <v/>
      </c>
      <c r="H88" s="23" t="str">
        <f aca="false">IFERROR(IF(INDEX(SearchDB!$F$2:$F$2222,MATCH(83,SearchDB!$L$2:$L$2222,0))=0,"",INDEX(SearchDB!$F$2:$F$2222,MATCH(83,SearchDB!$L$2:$L$2222,0))),"")</f>
        <v/>
      </c>
      <c r="I88" s="23" t="str">
        <f aca="false">IFERROR(IF(INDEX(SearchDB!$G$2:$G$2222,MATCH(83,SearchDB!$L$2:$L$2222,0))=0,"",INDEX(SearchDB!$G$2:$G$2222,MATCH(83,SearchDB!$L$2:$L$2222,0))),"")</f>
        <v/>
      </c>
      <c r="J88" s="23" t="str">
        <f aca="false">IFERROR(IF(INDEX(SearchDB!$H$2:$H$2222,MATCH(83,SearchDB!$L$2:$L$2222,0))=0,"",INDEX(SearchDB!$H$2:$H$2222,MATCH(83,SearchDB!$L$2:$L$2222,0))),"")</f>
        <v/>
      </c>
      <c r="K88" s="24"/>
    </row>
    <row r="89" customFormat="false" ht="19.5" hidden="false" customHeight="true" outlineLevel="0" collapsed="false">
      <c r="A89" s="2"/>
      <c r="B89" s="25" t="n">
        <v>84</v>
      </c>
      <c r="C89" s="26" t="str">
        <f aca="false">IFERROR(INDEX(SearchDB!$A$2:$A$2222,MATCH(84,SearchDB!$L$2:$L$2222,0)),"")</f>
        <v/>
      </c>
      <c r="D89" s="26" t="str">
        <f aca="false">IFERROR(INDEX(SearchDB!$B$2:$B$2222,MATCH(84,SearchDB!$L$2:$L$2222,0)),"")</f>
        <v/>
      </c>
      <c r="E89" s="25" t="str">
        <f aca="false">IFERROR(INDEX(SearchDB!$C$2:$C$2222,MATCH(84,SearchDB!$L$2:$L$2222,0)),"")</f>
        <v/>
      </c>
      <c r="F89" s="26" t="str">
        <f aca="false">IFERROR(IF(INDEX(SearchDB!$D$2:$D$2222,MATCH(84,SearchDB!$L$2:$L$2222,0))=0,"",INDEX(SearchDB!$D$2:$D$2222,MATCH(84,SearchDB!$L$2:$L$2222,0))),"")</f>
        <v/>
      </c>
      <c r="G89" s="26" t="str">
        <f aca="false">IFERROR(IF(INDEX(SearchDB!$E$2:$E$2222,MATCH(84,SearchDB!$L$2:$L$2222,0))=0,"",INDEX(SearchDB!$E$2:$E$2222,MATCH(84,SearchDB!$L$2:$L$2222,0))),"")</f>
        <v/>
      </c>
      <c r="H89" s="26" t="str">
        <f aca="false">IFERROR(IF(INDEX(SearchDB!$F$2:$F$2222,MATCH(84,SearchDB!$L$2:$L$2222,0))=0,"",INDEX(SearchDB!$F$2:$F$2222,MATCH(84,SearchDB!$L$2:$L$2222,0))),"")</f>
        <v/>
      </c>
      <c r="I89" s="26" t="str">
        <f aca="false">IFERROR(IF(INDEX(SearchDB!$G$2:$G$2222,MATCH(84,SearchDB!$L$2:$L$2222,0))=0,"",INDEX(SearchDB!$G$2:$G$2222,MATCH(84,SearchDB!$L$2:$L$2222,0))),"")</f>
        <v/>
      </c>
      <c r="J89" s="26" t="str">
        <f aca="false">IFERROR(IF(INDEX(SearchDB!$H$2:$H$2222,MATCH(84,SearchDB!$L$2:$L$2222,0))=0,"",INDEX(SearchDB!$H$2:$H$2222,MATCH(84,SearchDB!$L$2:$L$2222,0))),"")</f>
        <v/>
      </c>
      <c r="K89" s="24"/>
    </row>
    <row r="90" customFormat="false" ht="19.5" hidden="false" customHeight="true" outlineLevel="0" collapsed="false">
      <c r="A90" s="2"/>
      <c r="B90" s="22" t="n">
        <v>85</v>
      </c>
      <c r="C90" s="23" t="str">
        <f aca="false">IFERROR(INDEX(SearchDB!$A$2:$A$2222,MATCH(85,SearchDB!$L$2:$L$2222,0)),"")</f>
        <v/>
      </c>
      <c r="D90" s="23" t="str">
        <f aca="false">IFERROR(INDEX(SearchDB!$B$2:$B$2222,MATCH(85,SearchDB!$L$2:$L$2222,0)),"")</f>
        <v/>
      </c>
      <c r="E90" s="22" t="str">
        <f aca="false">IFERROR(INDEX(SearchDB!$C$2:$C$2222,MATCH(85,SearchDB!$L$2:$L$2222,0)),"")</f>
        <v/>
      </c>
      <c r="F90" s="23" t="str">
        <f aca="false">IFERROR(IF(INDEX(SearchDB!$D$2:$D$2222,MATCH(85,SearchDB!$L$2:$L$2222,0))=0,"",INDEX(SearchDB!$D$2:$D$2222,MATCH(85,SearchDB!$L$2:$L$2222,0))),"")</f>
        <v/>
      </c>
      <c r="G90" s="23" t="str">
        <f aca="false">IFERROR(IF(INDEX(SearchDB!$E$2:$E$2222,MATCH(85,SearchDB!$L$2:$L$2222,0))=0,"",INDEX(SearchDB!$E$2:$E$2222,MATCH(85,SearchDB!$L$2:$L$2222,0))),"")</f>
        <v/>
      </c>
      <c r="H90" s="23" t="str">
        <f aca="false">IFERROR(IF(INDEX(SearchDB!$F$2:$F$2222,MATCH(85,SearchDB!$L$2:$L$2222,0))=0,"",INDEX(SearchDB!$F$2:$F$2222,MATCH(85,SearchDB!$L$2:$L$2222,0))),"")</f>
        <v/>
      </c>
      <c r="I90" s="23" t="str">
        <f aca="false">IFERROR(IF(INDEX(SearchDB!$G$2:$G$2222,MATCH(85,SearchDB!$L$2:$L$2222,0))=0,"",INDEX(SearchDB!$G$2:$G$2222,MATCH(85,SearchDB!$L$2:$L$2222,0))),"")</f>
        <v/>
      </c>
      <c r="J90" s="23" t="str">
        <f aca="false">IFERROR(IF(INDEX(SearchDB!$H$2:$H$2222,MATCH(85,SearchDB!$L$2:$L$2222,0))=0,"",INDEX(SearchDB!$H$2:$H$2222,MATCH(85,SearchDB!$L$2:$L$2222,0))),"")</f>
        <v/>
      </c>
      <c r="K90" s="24"/>
    </row>
    <row r="91" customFormat="false" ht="19.5" hidden="false" customHeight="true" outlineLevel="0" collapsed="false">
      <c r="A91" s="2"/>
      <c r="B91" s="25" t="n">
        <v>86</v>
      </c>
      <c r="C91" s="26" t="str">
        <f aca="false">IFERROR(INDEX(SearchDB!$A$2:$A$2222,MATCH(86,SearchDB!$L$2:$L$2222,0)),"")</f>
        <v/>
      </c>
      <c r="D91" s="26" t="str">
        <f aca="false">IFERROR(INDEX(SearchDB!$B$2:$B$2222,MATCH(86,SearchDB!$L$2:$L$2222,0)),"")</f>
        <v/>
      </c>
      <c r="E91" s="25" t="str">
        <f aca="false">IFERROR(INDEX(SearchDB!$C$2:$C$2222,MATCH(86,SearchDB!$L$2:$L$2222,0)),"")</f>
        <v/>
      </c>
      <c r="F91" s="26" t="str">
        <f aca="false">IFERROR(IF(INDEX(SearchDB!$D$2:$D$2222,MATCH(86,SearchDB!$L$2:$L$2222,0))=0,"",INDEX(SearchDB!$D$2:$D$2222,MATCH(86,SearchDB!$L$2:$L$2222,0))),"")</f>
        <v/>
      </c>
      <c r="G91" s="26" t="str">
        <f aca="false">IFERROR(IF(INDEX(SearchDB!$E$2:$E$2222,MATCH(86,SearchDB!$L$2:$L$2222,0))=0,"",INDEX(SearchDB!$E$2:$E$2222,MATCH(86,SearchDB!$L$2:$L$2222,0))),"")</f>
        <v/>
      </c>
      <c r="H91" s="26" t="str">
        <f aca="false">IFERROR(IF(INDEX(SearchDB!$F$2:$F$2222,MATCH(86,SearchDB!$L$2:$L$2222,0))=0,"",INDEX(SearchDB!$F$2:$F$2222,MATCH(86,SearchDB!$L$2:$L$2222,0))),"")</f>
        <v/>
      </c>
      <c r="I91" s="26" t="str">
        <f aca="false">IFERROR(IF(INDEX(SearchDB!$G$2:$G$2222,MATCH(86,SearchDB!$L$2:$L$2222,0))=0,"",INDEX(SearchDB!$G$2:$G$2222,MATCH(86,SearchDB!$L$2:$L$2222,0))),"")</f>
        <v/>
      </c>
      <c r="J91" s="26" t="str">
        <f aca="false">IFERROR(IF(INDEX(SearchDB!$H$2:$H$2222,MATCH(86,SearchDB!$L$2:$L$2222,0))=0,"",INDEX(SearchDB!$H$2:$H$2222,MATCH(86,SearchDB!$L$2:$L$2222,0))),"")</f>
        <v/>
      </c>
      <c r="K91" s="24"/>
    </row>
    <row r="92" customFormat="false" ht="19.5" hidden="false" customHeight="true" outlineLevel="0" collapsed="false">
      <c r="A92" s="2"/>
      <c r="B92" s="22" t="n">
        <v>87</v>
      </c>
      <c r="C92" s="23" t="str">
        <f aca="false">IFERROR(INDEX(SearchDB!$A$2:$A$2222,MATCH(87,SearchDB!$L$2:$L$2222,0)),"")</f>
        <v/>
      </c>
      <c r="D92" s="23" t="str">
        <f aca="false">IFERROR(INDEX(SearchDB!$B$2:$B$2222,MATCH(87,SearchDB!$L$2:$L$2222,0)),"")</f>
        <v/>
      </c>
      <c r="E92" s="22" t="str">
        <f aca="false">IFERROR(INDEX(SearchDB!$C$2:$C$2222,MATCH(87,SearchDB!$L$2:$L$2222,0)),"")</f>
        <v/>
      </c>
      <c r="F92" s="23" t="str">
        <f aca="false">IFERROR(IF(INDEX(SearchDB!$D$2:$D$2222,MATCH(87,SearchDB!$L$2:$L$2222,0))=0,"",INDEX(SearchDB!$D$2:$D$2222,MATCH(87,SearchDB!$L$2:$L$2222,0))),"")</f>
        <v/>
      </c>
      <c r="G92" s="23" t="str">
        <f aca="false">IFERROR(IF(INDEX(SearchDB!$E$2:$E$2222,MATCH(87,SearchDB!$L$2:$L$2222,0))=0,"",INDEX(SearchDB!$E$2:$E$2222,MATCH(87,SearchDB!$L$2:$L$2222,0))),"")</f>
        <v/>
      </c>
      <c r="H92" s="23" t="str">
        <f aca="false">IFERROR(IF(INDEX(SearchDB!$F$2:$F$2222,MATCH(87,SearchDB!$L$2:$L$2222,0))=0,"",INDEX(SearchDB!$F$2:$F$2222,MATCH(87,SearchDB!$L$2:$L$2222,0))),"")</f>
        <v/>
      </c>
      <c r="I92" s="23" t="str">
        <f aca="false">IFERROR(IF(INDEX(SearchDB!$G$2:$G$2222,MATCH(87,SearchDB!$L$2:$L$2222,0))=0,"",INDEX(SearchDB!$G$2:$G$2222,MATCH(87,SearchDB!$L$2:$L$2222,0))),"")</f>
        <v/>
      </c>
      <c r="J92" s="23" t="str">
        <f aca="false">IFERROR(IF(INDEX(SearchDB!$H$2:$H$2222,MATCH(87,SearchDB!$L$2:$L$2222,0))=0,"",INDEX(SearchDB!$H$2:$H$2222,MATCH(87,SearchDB!$L$2:$L$2222,0))),"")</f>
        <v/>
      </c>
      <c r="K92" s="24"/>
    </row>
    <row r="93" customFormat="false" ht="19.5" hidden="false" customHeight="true" outlineLevel="0" collapsed="false">
      <c r="A93" s="2"/>
      <c r="B93" s="25" t="n">
        <v>88</v>
      </c>
      <c r="C93" s="26" t="str">
        <f aca="false">IFERROR(INDEX(SearchDB!$A$2:$A$2222,MATCH(88,SearchDB!$L$2:$L$2222,0)),"")</f>
        <v/>
      </c>
      <c r="D93" s="26" t="str">
        <f aca="false">IFERROR(INDEX(SearchDB!$B$2:$B$2222,MATCH(88,SearchDB!$L$2:$L$2222,0)),"")</f>
        <v/>
      </c>
      <c r="E93" s="25" t="str">
        <f aca="false">IFERROR(INDEX(SearchDB!$C$2:$C$2222,MATCH(88,SearchDB!$L$2:$L$2222,0)),"")</f>
        <v/>
      </c>
      <c r="F93" s="26" t="str">
        <f aca="false">IFERROR(IF(INDEX(SearchDB!$D$2:$D$2222,MATCH(88,SearchDB!$L$2:$L$2222,0))=0,"",INDEX(SearchDB!$D$2:$D$2222,MATCH(88,SearchDB!$L$2:$L$2222,0))),"")</f>
        <v/>
      </c>
      <c r="G93" s="26" t="str">
        <f aca="false">IFERROR(IF(INDEX(SearchDB!$E$2:$E$2222,MATCH(88,SearchDB!$L$2:$L$2222,0))=0,"",INDEX(SearchDB!$E$2:$E$2222,MATCH(88,SearchDB!$L$2:$L$2222,0))),"")</f>
        <v/>
      </c>
      <c r="H93" s="26" t="str">
        <f aca="false">IFERROR(IF(INDEX(SearchDB!$F$2:$F$2222,MATCH(88,SearchDB!$L$2:$L$2222,0))=0,"",INDEX(SearchDB!$F$2:$F$2222,MATCH(88,SearchDB!$L$2:$L$2222,0))),"")</f>
        <v/>
      </c>
      <c r="I93" s="26" t="str">
        <f aca="false">IFERROR(IF(INDEX(SearchDB!$G$2:$G$2222,MATCH(88,SearchDB!$L$2:$L$2222,0))=0,"",INDEX(SearchDB!$G$2:$G$2222,MATCH(88,SearchDB!$L$2:$L$2222,0))),"")</f>
        <v/>
      </c>
      <c r="J93" s="26" t="str">
        <f aca="false">IFERROR(IF(INDEX(SearchDB!$H$2:$H$2222,MATCH(88,SearchDB!$L$2:$L$2222,0))=0,"",INDEX(SearchDB!$H$2:$H$2222,MATCH(88,SearchDB!$L$2:$L$2222,0))),"")</f>
        <v/>
      </c>
      <c r="K93" s="24"/>
    </row>
    <row r="94" customFormat="false" ht="19.5" hidden="false" customHeight="true" outlineLevel="0" collapsed="false">
      <c r="A94" s="2"/>
      <c r="B94" s="22" t="n">
        <v>89</v>
      </c>
      <c r="C94" s="23" t="str">
        <f aca="false">IFERROR(INDEX(SearchDB!$A$2:$A$2222,MATCH(89,SearchDB!$L$2:$L$2222,0)),"")</f>
        <v/>
      </c>
      <c r="D94" s="23" t="str">
        <f aca="false">IFERROR(INDEX(SearchDB!$B$2:$B$2222,MATCH(89,SearchDB!$L$2:$L$2222,0)),"")</f>
        <v/>
      </c>
      <c r="E94" s="22" t="str">
        <f aca="false">IFERROR(INDEX(SearchDB!$C$2:$C$2222,MATCH(89,SearchDB!$L$2:$L$2222,0)),"")</f>
        <v/>
      </c>
      <c r="F94" s="23" t="str">
        <f aca="false">IFERROR(IF(INDEX(SearchDB!$D$2:$D$2222,MATCH(89,SearchDB!$L$2:$L$2222,0))=0,"",INDEX(SearchDB!$D$2:$D$2222,MATCH(89,SearchDB!$L$2:$L$2222,0))),"")</f>
        <v/>
      </c>
      <c r="G94" s="23" t="str">
        <f aca="false">IFERROR(IF(INDEX(SearchDB!$E$2:$E$2222,MATCH(89,SearchDB!$L$2:$L$2222,0))=0,"",INDEX(SearchDB!$E$2:$E$2222,MATCH(89,SearchDB!$L$2:$L$2222,0))),"")</f>
        <v/>
      </c>
      <c r="H94" s="23" t="str">
        <f aca="false">IFERROR(IF(INDEX(SearchDB!$F$2:$F$2222,MATCH(89,SearchDB!$L$2:$L$2222,0))=0,"",INDEX(SearchDB!$F$2:$F$2222,MATCH(89,SearchDB!$L$2:$L$2222,0))),"")</f>
        <v/>
      </c>
      <c r="I94" s="23" t="str">
        <f aca="false">IFERROR(IF(INDEX(SearchDB!$G$2:$G$2222,MATCH(89,SearchDB!$L$2:$L$2222,0))=0,"",INDEX(SearchDB!$G$2:$G$2222,MATCH(89,SearchDB!$L$2:$L$2222,0))),"")</f>
        <v/>
      </c>
      <c r="J94" s="23" t="str">
        <f aca="false">IFERROR(IF(INDEX(SearchDB!$H$2:$H$2222,MATCH(89,SearchDB!$L$2:$L$2222,0))=0,"",INDEX(SearchDB!$H$2:$H$2222,MATCH(89,SearchDB!$L$2:$L$2222,0))),"")</f>
        <v/>
      </c>
      <c r="K94" s="24"/>
    </row>
    <row r="95" customFormat="false" ht="19.5" hidden="false" customHeight="true" outlineLevel="0" collapsed="false">
      <c r="A95" s="2"/>
      <c r="B95" s="25" t="n">
        <v>90</v>
      </c>
      <c r="C95" s="26" t="str">
        <f aca="false">IFERROR(INDEX(SearchDB!$A$2:$A$2222,MATCH(90,SearchDB!$L$2:$L$2222,0)),"")</f>
        <v/>
      </c>
      <c r="D95" s="26" t="str">
        <f aca="false">IFERROR(INDEX(SearchDB!$B$2:$B$2222,MATCH(90,SearchDB!$L$2:$L$2222,0)),"")</f>
        <v/>
      </c>
      <c r="E95" s="25" t="str">
        <f aca="false">IFERROR(INDEX(SearchDB!$C$2:$C$2222,MATCH(90,SearchDB!$L$2:$L$2222,0)),"")</f>
        <v/>
      </c>
      <c r="F95" s="26" t="str">
        <f aca="false">IFERROR(IF(INDEX(SearchDB!$D$2:$D$2222,MATCH(90,SearchDB!$L$2:$L$2222,0))=0,"",INDEX(SearchDB!$D$2:$D$2222,MATCH(90,SearchDB!$L$2:$L$2222,0))),"")</f>
        <v/>
      </c>
      <c r="G95" s="26" t="str">
        <f aca="false">IFERROR(IF(INDEX(SearchDB!$E$2:$E$2222,MATCH(90,SearchDB!$L$2:$L$2222,0))=0,"",INDEX(SearchDB!$E$2:$E$2222,MATCH(90,SearchDB!$L$2:$L$2222,0))),"")</f>
        <v/>
      </c>
      <c r="H95" s="26" t="str">
        <f aca="false">IFERROR(IF(INDEX(SearchDB!$F$2:$F$2222,MATCH(90,SearchDB!$L$2:$L$2222,0))=0,"",INDEX(SearchDB!$F$2:$F$2222,MATCH(90,SearchDB!$L$2:$L$2222,0))),"")</f>
        <v/>
      </c>
      <c r="I95" s="26" t="str">
        <f aca="false">IFERROR(IF(INDEX(SearchDB!$G$2:$G$2222,MATCH(90,SearchDB!$L$2:$L$2222,0))=0,"",INDEX(SearchDB!$G$2:$G$2222,MATCH(90,SearchDB!$L$2:$L$2222,0))),"")</f>
        <v/>
      </c>
      <c r="J95" s="26" t="str">
        <f aca="false">IFERROR(IF(INDEX(SearchDB!$H$2:$H$2222,MATCH(90,SearchDB!$L$2:$L$2222,0))=0,"",INDEX(SearchDB!$H$2:$H$2222,MATCH(90,SearchDB!$L$2:$L$2222,0))),"")</f>
        <v/>
      </c>
      <c r="K95" s="24"/>
    </row>
    <row r="96" customFormat="false" ht="19.5" hidden="false" customHeight="true" outlineLevel="0" collapsed="false">
      <c r="A96" s="2"/>
      <c r="B96" s="22" t="n">
        <v>91</v>
      </c>
      <c r="C96" s="23" t="str">
        <f aca="false">IFERROR(INDEX(SearchDB!$A$2:$A$2222,MATCH(91,SearchDB!$L$2:$L$2222,0)),"")</f>
        <v/>
      </c>
      <c r="D96" s="23" t="str">
        <f aca="false">IFERROR(INDEX(SearchDB!$B$2:$B$2222,MATCH(91,SearchDB!$L$2:$L$2222,0)),"")</f>
        <v/>
      </c>
      <c r="E96" s="22" t="str">
        <f aca="false">IFERROR(INDEX(SearchDB!$C$2:$C$2222,MATCH(91,SearchDB!$L$2:$L$2222,0)),"")</f>
        <v/>
      </c>
      <c r="F96" s="23" t="str">
        <f aca="false">IFERROR(IF(INDEX(SearchDB!$D$2:$D$2222,MATCH(91,SearchDB!$L$2:$L$2222,0))=0,"",INDEX(SearchDB!$D$2:$D$2222,MATCH(91,SearchDB!$L$2:$L$2222,0))),"")</f>
        <v/>
      </c>
      <c r="G96" s="23" t="str">
        <f aca="false">IFERROR(IF(INDEX(SearchDB!$E$2:$E$2222,MATCH(91,SearchDB!$L$2:$L$2222,0))=0,"",INDEX(SearchDB!$E$2:$E$2222,MATCH(91,SearchDB!$L$2:$L$2222,0))),"")</f>
        <v/>
      </c>
      <c r="H96" s="23" t="str">
        <f aca="false">IFERROR(IF(INDEX(SearchDB!$F$2:$F$2222,MATCH(91,SearchDB!$L$2:$L$2222,0))=0,"",INDEX(SearchDB!$F$2:$F$2222,MATCH(91,SearchDB!$L$2:$L$2222,0))),"")</f>
        <v/>
      </c>
      <c r="I96" s="23" t="str">
        <f aca="false">IFERROR(IF(INDEX(SearchDB!$G$2:$G$2222,MATCH(91,SearchDB!$L$2:$L$2222,0))=0,"",INDEX(SearchDB!$G$2:$G$2222,MATCH(91,SearchDB!$L$2:$L$2222,0))),"")</f>
        <v/>
      </c>
      <c r="J96" s="23" t="str">
        <f aca="false">IFERROR(IF(INDEX(SearchDB!$H$2:$H$2222,MATCH(91,SearchDB!$L$2:$L$2222,0))=0,"",INDEX(SearchDB!$H$2:$H$2222,MATCH(91,SearchDB!$L$2:$L$2222,0))),"")</f>
        <v/>
      </c>
      <c r="K96" s="24"/>
    </row>
    <row r="97" customFormat="false" ht="19.5" hidden="false" customHeight="true" outlineLevel="0" collapsed="false">
      <c r="A97" s="2"/>
      <c r="B97" s="25" t="n">
        <v>92</v>
      </c>
      <c r="C97" s="26" t="str">
        <f aca="false">IFERROR(INDEX(SearchDB!$A$2:$A$2222,MATCH(92,SearchDB!$L$2:$L$2222,0)),"")</f>
        <v/>
      </c>
      <c r="D97" s="26" t="str">
        <f aca="false">IFERROR(INDEX(SearchDB!$B$2:$B$2222,MATCH(92,SearchDB!$L$2:$L$2222,0)),"")</f>
        <v/>
      </c>
      <c r="E97" s="25" t="str">
        <f aca="false">IFERROR(INDEX(SearchDB!$C$2:$C$2222,MATCH(92,SearchDB!$L$2:$L$2222,0)),"")</f>
        <v/>
      </c>
      <c r="F97" s="26" t="str">
        <f aca="false">IFERROR(IF(INDEX(SearchDB!$D$2:$D$2222,MATCH(92,SearchDB!$L$2:$L$2222,0))=0,"",INDEX(SearchDB!$D$2:$D$2222,MATCH(92,SearchDB!$L$2:$L$2222,0))),"")</f>
        <v/>
      </c>
      <c r="G97" s="26" t="str">
        <f aca="false">IFERROR(IF(INDEX(SearchDB!$E$2:$E$2222,MATCH(92,SearchDB!$L$2:$L$2222,0))=0,"",INDEX(SearchDB!$E$2:$E$2222,MATCH(92,SearchDB!$L$2:$L$2222,0))),"")</f>
        <v/>
      </c>
      <c r="H97" s="26" t="str">
        <f aca="false">IFERROR(IF(INDEX(SearchDB!$F$2:$F$2222,MATCH(92,SearchDB!$L$2:$L$2222,0))=0,"",INDEX(SearchDB!$F$2:$F$2222,MATCH(92,SearchDB!$L$2:$L$2222,0))),"")</f>
        <v/>
      </c>
      <c r="I97" s="26" t="str">
        <f aca="false">IFERROR(IF(INDEX(SearchDB!$G$2:$G$2222,MATCH(92,SearchDB!$L$2:$L$2222,0))=0,"",INDEX(SearchDB!$G$2:$G$2222,MATCH(92,SearchDB!$L$2:$L$2222,0))),"")</f>
        <v/>
      </c>
      <c r="J97" s="26" t="str">
        <f aca="false">IFERROR(IF(INDEX(SearchDB!$H$2:$H$2222,MATCH(92,SearchDB!$L$2:$L$2222,0))=0,"",INDEX(SearchDB!$H$2:$H$2222,MATCH(92,SearchDB!$L$2:$L$2222,0))),"")</f>
        <v/>
      </c>
      <c r="K97" s="24"/>
    </row>
    <row r="98" customFormat="false" ht="19.5" hidden="false" customHeight="true" outlineLevel="0" collapsed="false">
      <c r="A98" s="2"/>
      <c r="B98" s="22" t="n">
        <v>93</v>
      </c>
      <c r="C98" s="23" t="str">
        <f aca="false">IFERROR(INDEX(SearchDB!$A$2:$A$2222,MATCH(93,SearchDB!$L$2:$L$2222,0)),"")</f>
        <v/>
      </c>
      <c r="D98" s="23" t="str">
        <f aca="false">IFERROR(INDEX(SearchDB!$B$2:$B$2222,MATCH(93,SearchDB!$L$2:$L$2222,0)),"")</f>
        <v/>
      </c>
      <c r="E98" s="22" t="str">
        <f aca="false">IFERROR(INDEX(SearchDB!$C$2:$C$2222,MATCH(93,SearchDB!$L$2:$L$2222,0)),"")</f>
        <v/>
      </c>
      <c r="F98" s="23" t="str">
        <f aca="false">IFERROR(IF(INDEX(SearchDB!$D$2:$D$2222,MATCH(93,SearchDB!$L$2:$L$2222,0))=0,"",INDEX(SearchDB!$D$2:$D$2222,MATCH(93,SearchDB!$L$2:$L$2222,0))),"")</f>
        <v/>
      </c>
      <c r="G98" s="23" t="str">
        <f aca="false">IFERROR(IF(INDEX(SearchDB!$E$2:$E$2222,MATCH(93,SearchDB!$L$2:$L$2222,0))=0,"",INDEX(SearchDB!$E$2:$E$2222,MATCH(93,SearchDB!$L$2:$L$2222,0))),"")</f>
        <v/>
      </c>
      <c r="H98" s="23" t="str">
        <f aca="false">IFERROR(IF(INDEX(SearchDB!$F$2:$F$2222,MATCH(93,SearchDB!$L$2:$L$2222,0))=0,"",INDEX(SearchDB!$F$2:$F$2222,MATCH(93,SearchDB!$L$2:$L$2222,0))),"")</f>
        <v/>
      </c>
      <c r="I98" s="23" t="str">
        <f aca="false">IFERROR(IF(INDEX(SearchDB!$G$2:$G$2222,MATCH(93,SearchDB!$L$2:$L$2222,0))=0,"",INDEX(SearchDB!$G$2:$G$2222,MATCH(93,SearchDB!$L$2:$L$2222,0))),"")</f>
        <v/>
      </c>
      <c r="J98" s="23" t="str">
        <f aca="false">IFERROR(IF(INDEX(SearchDB!$H$2:$H$2222,MATCH(93,SearchDB!$L$2:$L$2222,0))=0,"",INDEX(SearchDB!$H$2:$H$2222,MATCH(93,SearchDB!$L$2:$L$2222,0))),"")</f>
        <v/>
      </c>
      <c r="K98" s="24"/>
    </row>
    <row r="99" customFormat="false" ht="19.5" hidden="false" customHeight="true" outlineLevel="0" collapsed="false">
      <c r="A99" s="2"/>
      <c r="B99" s="25" t="n">
        <v>94</v>
      </c>
      <c r="C99" s="26" t="str">
        <f aca="false">IFERROR(INDEX(SearchDB!$A$2:$A$2222,MATCH(94,SearchDB!$L$2:$L$2222,0)),"")</f>
        <v/>
      </c>
      <c r="D99" s="26" t="str">
        <f aca="false">IFERROR(INDEX(SearchDB!$B$2:$B$2222,MATCH(94,SearchDB!$L$2:$L$2222,0)),"")</f>
        <v/>
      </c>
      <c r="E99" s="25" t="str">
        <f aca="false">IFERROR(INDEX(SearchDB!$C$2:$C$2222,MATCH(94,SearchDB!$L$2:$L$2222,0)),"")</f>
        <v/>
      </c>
      <c r="F99" s="26" t="str">
        <f aca="false">IFERROR(IF(INDEX(SearchDB!$D$2:$D$2222,MATCH(94,SearchDB!$L$2:$L$2222,0))=0,"",INDEX(SearchDB!$D$2:$D$2222,MATCH(94,SearchDB!$L$2:$L$2222,0))),"")</f>
        <v/>
      </c>
      <c r="G99" s="26" t="str">
        <f aca="false">IFERROR(IF(INDEX(SearchDB!$E$2:$E$2222,MATCH(94,SearchDB!$L$2:$L$2222,0))=0,"",INDEX(SearchDB!$E$2:$E$2222,MATCH(94,SearchDB!$L$2:$L$2222,0))),"")</f>
        <v/>
      </c>
      <c r="H99" s="26" t="str">
        <f aca="false">IFERROR(IF(INDEX(SearchDB!$F$2:$F$2222,MATCH(94,SearchDB!$L$2:$L$2222,0))=0,"",INDEX(SearchDB!$F$2:$F$2222,MATCH(94,SearchDB!$L$2:$L$2222,0))),"")</f>
        <v/>
      </c>
      <c r="I99" s="26" t="str">
        <f aca="false">IFERROR(IF(INDEX(SearchDB!$G$2:$G$2222,MATCH(94,SearchDB!$L$2:$L$2222,0))=0,"",INDEX(SearchDB!$G$2:$G$2222,MATCH(94,SearchDB!$L$2:$L$2222,0))),"")</f>
        <v/>
      </c>
      <c r="J99" s="26" t="str">
        <f aca="false">IFERROR(IF(INDEX(SearchDB!$H$2:$H$2222,MATCH(94,SearchDB!$L$2:$L$2222,0))=0,"",INDEX(SearchDB!$H$2:$H$2222,MATCH(94,SearchDB!$L$2:$L$2222,0))),"")</f>
        <v/>
      </c>
      <c r="K99" s="24"/>
    </row>
    <row r="100" customFormat="false" ht="19.5" hidden="false" customHeight="true" outlineLevel="0" collapsed="false">
      <c r="A100" s="2"/>
      <c r="B100" s="22" t="n">
        <v>95</v>
      </c>
      <c r="C100" s="23" t="str">
        <f aca="false">IFERROR(INDEX(SearchDB!$A$2:$A$2222,MATCH(95,SearchDB!$L$2:$L$2222,0)),"")</f>
        <v/>
      </c>
      <c r="D100" s="23" t="str">
        <f aca="false">IFERROR(INDEX(SearchDB!$B$2:$B$2222,MATCH(95,SearchDB!$L$2:$L$2222,0)),"")</f>
        <v/>
      </c>
      <c r="E100" s="22" t="str">
        <f aca="false">IFERROR(INDEX(SearchDB!$C$2:$C$2222,MATCH(95,SearchDB!$L$2:$L$2222,0)),"")</f>
        <v/>
      </c>
      <c r="F100" s="23" t="str">
        <f aca="false">IFERROR(IF(INDEX(SearchDB!$D$2:$D$2222,MATCH(95,SearchDB!$L$2:$L$2222,0))=0,"",INDEX(SearchDB!$D$2:$D$2222,MATCH(95,SearchDB!$L$2:$L$2222,0))),"")</f>
        <v/>
      </c>
      <c r="G100" s="23" t="str">
        <f aca="false">IFERROR(IF(INDEX(SearchDB!$E$2:$E$2222,MATCH(95,SearchDB!$L$2:$L$2222,0))=0,"",INDEX(SearchDB!$E$2:$E$2222,MATCH(95,SearchDB!$L$2:$L$2222,0))),"")</f>
        <v/>
      </c>
      <c r="H100" s="23" t="str">
        <f aca="false">IFERROR(IF(INDEX(SearchDB!$F$2:$F$2222,MATCH(95,SearchDB!$L$2:$L$2222,0))=0,"",INDEX(SearchDB!$F$2:$F$2222,MATCH(95,SearchDB!$L$2:$L$2222,0))),"")</f>
        <v/>
      </c>
      <c r="I100" s="23" t="str">
        <f aca="false">IFERROR(IF(INDEX(SearchDB!$G$2:$G$2222,MATCH(95,SearchDB!$L$2:$L$2222,0))=0,"",INDEX(SearchDB!$G$2:$G$2222,MATCH(95,SearchDB!$L$2:$L$2222,0))),"")</f>
        <v/>
      </c>
      <c r="J100" s="23" t="str">
        <f aca="false">IFERROR(IF(INDEX(SearchDB!$H$2:$H$2222,MATCH(95,SearchDB!$L$2:$L$2222,0))=0,"",INDEX(SearchDB!$H$2:$H$2222,MATCH(95,SearchDB!$L$2:$L$2222,0))),"")</f>
        <v/>
      </c>
      <c r="K100" s="24"/>
    </row>
    <row r="101" customFormat="false" ht="19.5" hidden="false" customHeight="true" outlineLevel="0" collapsed="false">
      <c r="A101" s="2"/>
      <c r="B101" s="25" t="n">
        <v>96</v>
      </c>
      <c r="C101" s="26" t="str">
        <f aca="false">IFERROR(INDEX(SearchDB!$A$2:$A$2222,MATCH(96,SearchDB!$L$2:$L$2222,0)),"")</f>
        <v/>
      </c>
      <c r="D101" s="26" t="str">
        <f aca="false">IFERROR(INDEX(SearchDB!$B$2:$B$2222,MATCH(96,SearchDB!$L$2:$L$2222,0)),"")</f>
        <v/>
      </c>
      <c r="E101" s="25" t="str">
        <f aca="false">IFERROR(INDEX(SearchDB!$C$2:$C$2222,MATCH(96,SearchDB!$L$2:$L$2222,0)),"")</f>
        <v/>
      </c>
      <c r="F101" s="26" t="str">
        <f aca="false">IFERROR(IF(INDEX(SearchDB!$D$2:$D$2222,MATCH(96,SearchDB!$L$2:$L$2222,0))=0,"",INDEX(SearchDB!$D$2:$D$2222,MATCH(96,SearchDB!$L$2:$L$2222,0))),"")</f>
        <v/>
      </c>
      <c r="G101" s="26" t="str">
        <f aca="false">IFERROR(IF(INDEX(SearchDB!$E$2:$E$2222,MATCH(96,SearchDB!$L$2:$L$2222,0))=0,"",INDEX(SearchDB!$E$2:$E$2222,MATCH(96,SearchDB!$L$2:$L$2222,0))),"")</f>
        <v/>
      </c>
      <c r="H101" s="26" t="str">
        <f aca="false">IFERROR(IF(INDEX(SearchDB!$F$2:$F$2222,MATCH(96,SearchDB!$L$2:$L$2222,0))=0,"",INDEX(SearchDB!$F$2:$F$2222,MATCH(96,SearchDB!$L$2:$L$2222,0))),"")</f>
        <v/>
      </c>
      <c r="I101" s="26" t="str">
        <f aca="false">IFERROR(IF(INDEX(SearchDB!$G$2:$G$2222,MATCH(96,SearchDB!$L$2:$L$2222,0))=0,"",INDEX(SearchDB!$G$2:$G$2222,MATCH(96,SearchDB!$L$2:$L$2222,0))),"")</f>
        <v/>
      </c>
      <c r="J101" s="26" t="str">
        <f aca="false">IFERROR(IF(INDEX(SearchDB!$H$2:$H$2222,MATCH(96,SearchDB!$L$2:$L$2222,0))=0,"",INDEX(SearchDB!$H$2:$H$2222,MATCH(96,SearchDB!$L$2:$L$2222,0))),"")</f>
        <v/>
      </c>
      <c r="K101" s="24"/>
    </row>
    <row r="102" customFormat="false" ht="19.5" hidden="false" customHeight="true" outlineLevel="0" collapsed="false">
      <c r="A102" s="2"/>
      <c r="B102" s="22" t="n">
        <v>97</v>
      </c>
      <c r="C102" s="23" t="str">
        <f aca="false">IFERROR(INDEX(SearchDB!$A$2:$A$2222,MATCH(97,SearchDB!$L$2:$L$2222,0)),"")</f>
        <v/>
      </c>
      <c r="D102" s="23" t="str">
        <f aca="false">IFERROR(INDEX(SearchDB!$B$2:$B$2222,MATCH(97,SearchDB!$L$2:$L$2222,0)),"")</f>
        <v/>
      </c>
      <c r="E102" s="22" t="str">
        <f aca="false">IFERROR(INDEX(SearchDB!$C$2:$C$2222,MATCH(97,SearchDB!$L$2:$L$2222,0)),"")</f>
        <v/>
      </c>
      <c r="F102" s="23" t="str">
        <f aca="false">IFERROR(IF(INDEX(SearchDB!$D$2:$D$2222,MATCH(97,SearchDB!$L$2:$L$2222,0))=0,"",INDEX(SearchDB!$D$2:$D$2222,MATCH(97,SearchDB!$L$2:$L$2222,0))),"")</f>
        <v/>
      </c>
      <c r="G102" s="23" t="str">
        <f aca="false">IFERROR(IF(INDEX(SearchDB!$E$2:$E$2222,MATCH(97,SearchDB!$L$2:$L$2222,0))=0,"",INDEX(SearchDB!$E$2:$E$2222,MATCH(97,SearchDB!$L$2:$L$2222,0))),"")</f>
        <v/>
      </c>
      <c r="H102" s="23" t="str">
        <f aca="false">IFERROR(IF(INDEX(SearchDB!$F$2:$F$2222,MATCH(97,SearchDB!$L$2:$L$2222,0))=0,"",INDEX(SearchDB!$F$2:$F$2222,MATCH(97,SearchDB!$L$2:$L$2222,0))),"")</f>
        <v/>
      </c>
      <c r="I102" s="23" t="str">
        <f aca="false">IFERROR(IF(INDEX(SearchDB!$G$2:$G$2222,MATCH(97,SearchDB!$L$2:$L$2222,0))=0,"",INDEX(SearchDB!$G$2:$G$2222,MATCH(97,SearchDB!$L$2:$L$2222,0))),"")</f>
        <v/>
      </c>
      <c r="J102" s="23" t="str">
        <f aca="false">IFERROR(IF(INDEX(SearchDB!$H$2:$H$2222,MATCH(97,SearchDB!$L$2:$L$2222,0))=0,"",INDEX(SearchDB!$H$2:$H$2222,MATCH(97,SearchDB!$L$2:$L$2222,0))),"")</f>
        <v/>
      </c>
      <c r="K102" s="24"/>
    </row>
    <row r="103" customFormat="false" ht="19.5" hidden="false" customHeight="true" outlineLevel="0" collapsed="false">
      <c r="A103" s="2"/>
      <c r="B103" s="25" t="n">
        <v>98</v>
      </c>
      <c r="C103" s="26" t="str">
        <f aca="false">IFERROR(INDEX(SearchDB!$A$2:$A$2222,MATCH(98,SearchDB!$L$2:$L$2222,0)),"")</f>
        <v/>
      </c>
      <c r="D103" s="26" t="str">
        <f aca="false">IFERROR(INDEX(SearchDB!$B$2:$B$2222,MATCH(98,SearchDB!$L$2:$L$2222,0)),"")</f>
        <v/>
      </c>
      <c r="E103" s="25" t="str">
        <f aca="false">IFERROR(INDEX(SearchDB!$C$2:$C$2222,MATCH(98,SearchDB!$L$2:$L$2222,0)),"")</f>
        <v/>
      </c>
      <c r="F103" s="26" t="str">
        <f aca="false">IFERROR(IF(INDEX(SearchDB!$D$2:$D$2222,MATCH(98,SearchDB!$L$2:$L$2222,0))=0,"",INDEX(SearchDB!$D$2:$D$2222,MATCH(98,SearchDB!$L$2:$L$2222,0))),"")</f>
        <v/>
      </c>
      <c r="G103" s="26" t="str">
        <f aca="false">IFERROR(IF(INDEX(SearchDB!$E$2:$E$2222,MATCH(98,SearchDB!$L$2:$L$2222,0))=0,"",INDEX(SearchDB!$E$2:$E$2222,MATCH(98,SearchDB!$L$2:$L$2222,0))),"")</f>
        <v/>
      </c>
      <c r="H103" s="26" t="str">
        <f aca="false">IFERROR(IF(INDEX(SearchDB!$F$2:$F$2222,MATCH(98,SearchDB!$L$2:$L$2222,0))=0,"",INDEX(SearchDB!$F$2:$F$2222,MATCH(98,SearchDB!$L$2:$L$2222,0))),"")</f>
        <v/>
      </c>
      <c r="I103" s="26" t="str">
        <f aca="false">IFERROR(IF(INDEX(SearchDB!$G$2:$G$2222,MATCH(98,SearchDB!$L$2:$L$2222,0))=0,"",INDEX(SearchDB!$G$2:$G$2222,MATCH(98,SearchDB!$L$2:$L$2222,0))),"")</f>
        <v/>
      </c>
      <c r="J103" s="26" t="str">
        <f aca="false">IFERROR(IF(INDEX(SearchDB!$H$2:$H$2222,MATCH(98,SearchDB!$L$2:$L$2222,0))=0,"",INDEX(SearchDB!$H$2:$H$2222,MATCH(98,SearchDB!$L$2:$L$2222,0))),"")</f>
        <v/>
      </c>
      <c r="K103" s="24"/>
    </row>
    <row r="104" customFormat="false" ht="19.5" hidden="false" customHeight="true" outlineLevel="0" collapsed="false">
      <c r="A104" s="2"/>
      <c r="B104" s="22" t="n">
        <v>99</v>
      </c>
      <c r="C104" s="23" t="str">
        <f aca="false">IFERROR(INDEX(SearchDB!$A$2:$A$2222,MATCH(99,SearchDB!$L$2:$L$2222,0)),"")</f>
        <v/>
      </c>
      <c r="D104" s="23" t="str">
        <f aca="false">IFERROR(INDEX(SearchDB!$B$2:$B$2222,MATCH(99,SearchDB!$L$2:$L$2222,0)),"")</f>
        <v/>
      </c>
      <c r="E104" s="22" t="str">
        <f aca="false">IFERROR(INDEX(SearchDB!$C$2:$C$2222,MATCH(99,SearchDB!$L$2:$L$2222,0)),"")</f>
        <v/>
      </c>
      <c r="F104" s="23" t="str">
        <f aca="false">IFERROR(IF(INDEX(SearchDB!$D$2:$D$2222,MATCH(99,SearchDB!$L$2:$L$2222,0))=0,"",INDEX(SearchDB!$D$2:$D$2222,MATCH(99,SearchDB!$L$2:$L$2222,0))),"")</f>
        <v/>
      </c>
      <c r="G104" s="23" t="str">
        <f aca="false">IFERROR(IF(INDEX(SearchDB!$E$2:$E$2222,MATCH(99,SearchDB!$L$2:$L$2222,0))=0,"",INDEX(SearchDB!$E$2:$E$2222,MATCH(99,SearchDB!$L$2:$L$2222,0))),"")</f>
        <v/>
      </c>
      <c r="H104" s="23" t="str">
        <f aca="false">IFERROR(IF(INDEX(SearchDB!$F$2:$F$2222,MATCH(99,SearchDB!$L$2:$L$2222,0))=0,"",INDEX(SearchDB!$F$2:$F$2222,MATCH(99,SearchDB!$L$2:$L$2222,0))),"")</f>
        <v/>
      </c>
      <c r="I104" s="23" t="str">
        <f aca="false">IFERROR(IF(INDEX(SearchDB!$G$2:$G$2222,MATCH(99,SearchDB!$L$2:$L$2222,0))=0,"",INDEX(SearchDB!$G$2:$G$2222,MATCH(99,SearchDB!$L$2:$L$2222,0))),"")</f>
        <v/>
      </c>
      <c r="J104" s="23" t="str">
        <f aca="false">IFERROR(IF(INDEX(SearchDB!$H$2:$H$2222,MATCH(99,SearchDB!$L$2:$L$2222,0))=0,"",INDEX(SearchDB!$H$2:$H$2222,MATCH(99,SearchDB!$L$2:$L$2222,0))),"")</f>
        <v/>
      </c>
      <c r="K104" s="24"/>
    </row>
    <row r="105" customFormat="false" ht="19.5" hidden="false" customHeight="true" outlineLevel="0" collapsed="false">
      <c r="A105" s="2"/>
      <c r="B105" s="25" t="n">
        <v>100</v>
      </c>
      <c r="C105" s="26" t="str">
        <f aca="false">IFERROR(INDEX(SearchDB!$A$2:$A$2222,MATCH(100,SearchDB!$L$2:$L$2222,0)),"")</f>
        <v/>
      </c>
      <c r="D105" s="26" t="str">
        <f aca="false">IFERROR(INDEX(SearchDB!$B$2:$B$2222,MATCH(100,SearchDB!$L$2:$L$2222,0)),"")</f>
        <v/>
      </c>
      <c r="E105" s="25" t="str">
        <f aca="false">IFERROR(INDEX(SearchDB!$C$2:$C$2222,MATCH(100,SearchDB!$L$2:$L$2222,0)),"")</f>
        <v/>
      </c>
      <c r="F105" s="26" t="str">
        <f aca="false">IFERROR(IF(INDEX(SearchDB!$D$2:$D$2222,MATCH(100,SearchDB!$L$2:$L$2222,0))=0,"",INDEX(SearchDB!$D$2:$D$2222,MATCH(100,SearchDB!$L$2:$L$2222,0))),"")</f>
        <v/>
      </c>
      <c r="G105" s="26" t="str">
        <f aca="false">IFERROR(IF(INDEX(SearchDB!$E$2:$E$2222,MATCH(100,SearchDB!$L$2:$L$2222,0))=0,"",INDEX(SearchDB!$E$2:$E$2222,MATCH(100,SearchDB!$L$2:$L$2222,0))),"")</f>
        <v/>
      </c>
      <c r="H105" s="26" t="str">
        <f aca="false">IFERROR(IF(INDEX(SearchDB!$F$2:$F$2222,MATCH(100,SearchDB!$L$2:$L$2222,0))=0,"",INDEX(SearchDB!$F$2:$F$2222,MATCH(100,SearchDB!$L$2:$L$2222,0))),"")</f>
        <v/>
      </c>
      <c r="I105" s="26" t="str">
        <f aca="false">IFERROR(IF(INDEX(SearchDB!$G$2:$G$2222,MATCH(100,SearchDB!$L$2:$L$2222,0))=0,"",INDEX(SearchDB!$G$2:$G$2222,MATCH(100,SearchDB!$L$2:$L$2222,0))),"")</f>
        <v/>
      </c>
      <c r="J105" s="26" t="str">
        <f aca="false">IFERROR(IF(INDEX(SearchDB!$H$2:$H$2222,MATCH(100,SearchDB!$L$2:$L$2222,0))=0,"",INDEX(SearchDB!$H$2:$H$2222,MATCH(100,SearchDB!$L$2:$L$2222,0))),"")</f>
        <v/>
      </c>
      <c r="K105" s="24"/>
    </row>
    <row r="106" customFormat="false" ht="19.5" hidden="false" customHeight="true" outlineLevel="0" collapsed="false">
      <c r="A106" s="2"/>
      <c r="B106" s="22" t="n">
        <v>101</v>
      </c>
      <c r="C106" s="23" t="str">
        <f aca="false">IFERROR(INDEX(SearchDB!$A$2:$A$2222,MATCH(101,SearchDB!$L$2:$L$2222,0)),"")</f>
        <v/>
      </c>
      <c r="D106" s="23" t="str">
        <f aca="false">IFERROR(INDEX(SearchDB!$B$2:$B$2222,MATCH(101,SearchDB!$L$2:$L$2222,0)),"")</f>
        <v/>
      </c>
      <c r="E106" s="22" t="str">
        <f aca="false">IFERROR(INDEX(SearchDB!$C$2:$C$2222,MATCH(101,SearchDB!$L$2:$L$2222,0)),"")</f>
        <v/>
      </c>
      <c r="F106" s="23" t="str">
        <f aca="false">IFERROR(IF(INDEX(SearchDB!$D$2:$D$2222,MATCH(101,SearchDB!$L$2:$L$2222,0))=0,"",INDEX(SearchDB!$D$2:$D$2222,MATCH(101,SearchDB!$L$2:$L$2222,0))),"")</f>
        <v/>
      </c>
      <c r="G106" s="23" t="str">
        <f aca="false">IFERROR(IF(INDEX(SearchDB!$E$2:$E$2222,MATCH(101,SearchDB!$L$2:$L$2222,0))=0,"",INDEX(SearchDB!$E$2:$E$2222,MATCH(101,SearchDB!$L$2:$L$2222,0))),"")</f>
        <v/>
      </c>
      <c r="H106" s="23" t="str">
        <f aca="false">IFERROR(IF(INDEX(SearchDB!$F$2:$F$2222,MATCH(101,SearchDB!$L$2:$L$2222,0))=0,"",INDEX(SearchDB!$F$2:$F$2222,MATCH(101,SearchDB!$L$2:$L$2222,0))),"")</f>
        <v/>
      </c>
      <c r="I106" s="23" t="str">
        <f aca="false">IFERROR(IF(INDEX(SearchDB!$G$2:$G$2222,MATCH(101,SearchDB!$L$2:$L$2222,0))=0,"",INDEX(SearchDB!$G$2:$G$2222,MATCH(101,SearchDB!$L$2:$L$2222,0))),"")</f>
        <v/>
      </c>
      <c r="J106" s="23" t="str">
        <f aca="false">IFERROR(IF(INDEX(SearchDB!$H$2:$H$2222,MATCH(101,SearchDB!$L$2:$L$2222,0))=0,"",INDEX(SearchDB!$H$2:$H$2222,MATCH(101,SearchDB!$L$2:$L$2222,0))),"")</f>
        <v/>
      </c>
      <c r="K106" s="24"/>
    </row>
    <row r="107" customFormat="false" ht="19.5" hidden="false" customHeight="true" outlineLevel="0" collapsed="false">
      <c r="A107" s="2"/>
      <c r="B107" s="25" t="n">
        <v>102</v>
      </c>
      <c r="C107" s="26" t="str">
        <f aca="false">IFERROR(INDEX(SearchDB!$A$2:$A$2222,MATCH(102,SearchDB!$L$2:$L$2222,0)),"")</f>
        <v/>
      </c>
      <c r="D107" s="26" t="str">
        <f aca="false">IFERROR(INDEX(SearchDB!$B$2:$B$2222,MATCH(102,SearchDB!$L$2:$L$2222,0)),"")</f>
        <v/>
      </c>
      <c r="E107" s="25" t="str">
        <f aca="false">IFERROR(INDEX(SearchDB!$C$2:$C$2222,MATCH(102,SearchDB!$L$2:$L$2222,0)),"")</f>
        <v/>
      </c>
      <c r="F107" s="26" t="str">
        <f aca="false">IFERROR(IF(INDEX(SearchDB!$D$2:$D$2222,MATCH(102,SearchDB!$L$2:$L$2222,0))=0,"",INDEX(SearchDB!$D$2:$D$2222,MATCH(102,SearchDB!$L$2:$L$2222,0))),"")</f>
        <v/>
      </c>
      <c r="G107" s="26" t="str">
        <f aca="false">IFERROR(IF(INDEX(SearchDB!$E$2:$E$2222,MATCH(102,SearchDB!$L$2:$L$2222,0))=0,"",INDEX(SearchDB!$E$2:$E$2222,MATCH(102,SearchDB!$L$2:$L$2222,0))),"")</f>
        <v/>
      </c>
      <c r="H107" s="26" t="str">
        <f aca="false">IFERROR(IF(INDEX(SearchDB!$F$2:$F$2222,MATCH(102,SearchDB!$L$2:$L$2222,0))=0,"",INDEX(SearchDB!$F$2:$F$2222,MATCH(102,SearchDB!$L$2:$L$2222,0))),"")</f>
        <v/>
      </c>
      <c r="I107" s="26" t="str">
        <f aca="false">IFERROR(IF(INDEX(SearchDB!$G$2:$G$2222,MATCH(102,SearchDB!$L$2:$L$2222,0))=0,"",INDEX(SearchDB!$G$2:$G$2222,MATCH(102,SearchDB!$L$2:$L$2222,0))),"")</f>
        <v/>
      </c>
      <c r="J107" s="26" t="str">
        <f aca="false">IFERROR(IF(INDEX(SearchDB!$H$2:$H$2222,MATCH(102,SearchDB!$L$2:$L$2222,0))=0,"",INDEX(SearchDB!$H$2:$H$2222,MATCH(102,SearchDB!$L$2:$L$2222,0))),"")</f>
        <v/>
      </c>
      <c r="K107" s="24"/>
    </row>
    <row r="108" customFormat="false" ht="19.5" hidden="false" customHeight="true" outlineLevel="0" collapsed="false">
      <c r="A108" s="2"/>
      <c r="B108" s="22" t="n">
        <v>103</v>
      </c>
      <c r="C108" s="23" t="str">
        <f aca="false">IFERROR(INDEX(SearchDB!$A$2:$A$2222,MATCH(103,SearchDB!$L$2:$L$2222,0)),"")</f>
        <v/>
      </c>
      <c r="D108" s="23" t="str">
        <f aca="false">IFERROR(INDEX(SearchDB!$B$2:$B$2222,MATCH(103,SearchDB!$L$2:$L$2222,0)),"")</f>
        <v/>
      </c>
      <c r="E108" s="22" t="str">
        <f aca="false">IFERROR(INDEX(SearchDB!$C$2:$C$2222,MATCH(103,SearchDB!$L$2:$L$2222,0)),"")</f>
        <v/>
      </c>
      <c r="F108" s="23" t="str">
        <f aca="false">IFERROR(IF(INDEX(SearchDB!$D$2:$D$2222,MATCH(103,SearchDB!$L$2:$L$2222,0))=0,"",INDEX(SearchDB!$D$2:$D$2222,MATCH(103,SearchDB!$L$2:$L$2222,0))),"")</f>
        <v/>
      </c>
      <c r="G108" s="23" t="str">
        <f aca="false">IFERROR(IF(INDEX(SearchDB!$E$2:$E$2222,MATCH(103,SearchDB!$L$2:$L$2222,0))=0,"",INDEX(SearchDB!$E$2:$E$2222,MATCH(103,SearchDB!$L$2:$L$2222,0))),"")</f>
        <v/>
      </c>
      <c r="H108" s="23" t="str">
        <f aca="false">IFERROR(IF(INDEX(SearchDB!$F$2:$F$2222,MATCH(103,SearchDB!$L$2:$L$2222,0))=0,"",INDEX(SearchDB!$F$2:$F$2222,MATCH(103,SearchDB!$L$2:$L$2222,0))),"")</f>
        <v/>
      </c>
      <c r="I108" s="23" t="str">
        <f aca="false">IFERROR(IF(INDEX(SearchDB!$G$2:$G$2222,MATCH(103,SearchDB!$L$2:$L$2222,0))=0,"",INDEX(SearchDB!$G$2:$G$2222,MATCH(103,SearchDB!$L$2:$L$2222,0))),"")</f>
        <v/>
      </c>
      <c r="J108" s="23" t="str">
        <f aca="false">IFERROR(IF(INDEX(SearchDB!$H$2:$H$2222,MATCH(103,SearchDB!$L$2:$L$2222,0))=0,"",INDEX(SearchDB!$H$2:$H$2222,MATCH(103,SearchDB!$L$2:$L$2222,0))),"")</f>
        <v/>
      </c>
      <c r="K108" s="24"/>
    </row>
    <row r="109" customFormat="false" ht="19.5" hidden="false" customHeight="true" outlineLevel="0" collapsed="false">
      <c r="A109" s="2"/>
      <c r="B109" s="25" t="n">
        <v>104</v>
      </c>
      <c r="C109" s="26" t="str">
        <f aca="false">IFERROR(INDEX(SearchDB!$A$2:$A$2222,MATCH(104,SearchDB!$L$2:$L$2222,0)),"")</f>
        <v/>
      </c>
      <c r="D109" s="26" t="str">
        <f aca="false">IFERROR(INDEX(SearchDB!$B$2:$B$2222,MATCH(104,SearchDB!$L$2:$L$2222,0)),"")</f>
        <v/>
      </c>
      <c r="E109" s="25" t="str">
        <f aca="false">IFERROR(INDEX(SearchDB!$C$2:$C$2222,MATCH(104,SearchDB!$L$2:$L$2222,0)),"")</f>
        <v/>
      </c>
      <c r="F109" s="26" t="str">
        <f aca="false">IFERROR(IF(INDEX(SearchDB!$D$2:$D$2222,MATCH(104,SearchDB!$L$2:$L$2222,0))=0,"",INDEX(SearchDB!$D$2:$D$2222,MATCH(104,SearchDB!$L$2:$L$2222,0))),"")</f>
        <v/>
      </c>
      <c r="G109" s="26" t="str">
        <f aca="false">IFERROR(IF(INDEX(SearchDB!$E$2:$E$2222,MATCH(104,SearchDB!$L$2:$L$2222,0))=0,"",INDEX(SearchDB!$E$2:$E$2222,MATCH(104,SearchDB!$L$2:$L$2222,0))),"")</f>
        <v/>
      </c>
      <c r="H109" s="26" t="str">
        <f aca="false">IFERROR(IF(INDEX(SearchDB!$F$2:$F$2222,MATCH(104,SearchDB!$L$2:$L$2222,0))=0,"",INDEX(SearchDB!$F$2:$F$2222,MATCH(104,SearchDB!$L$2:$L$2222,0))),"")</f>
        <v/>
      </c>
      <c r="I109" s="26" t="str">
        <f aca="false">IFERROR(IF(INDEX(SearchDB!$G$2:$G$2222,MATCH(104,SearchDB!$L$2:$L$2222,0))=0,"",INDEX(SearchDB!$G$2:$G$2222,MATCH(104,SearchDB!$L$2:$L$2222,0))),"")</f>
        <v/>
      </c>
      <c r="J109" s="26" t="str">
        <f aca="false">IFERROR(IF(INDEX(SearchDB!$H$2:$H$2222,MATCH(104,SearchDB!$L$2:$L$2222,0))=0,"",INDEX(SearchDB!$H$2:$H$2222,MATCH(104,SearchDB!$L$2:$L$2222,0))),"")</f>
        <v/>
      </c>
      <c r="K109" s="24"/>
    </row>
    <row r="110" customFormat="false" ht="19.5" hidden="false" customHeight="true" outlineLevel="0" collapsed="false">
      <c r="A110" s="2"/>
      <c r="B110" s="22" t="n">
        <v>105</v>
      </c>
      <c r="C110" s="23" t="str">
        <f aca="false">IFERROR(INDEX(SearchDB!$A$2:$A$2222,MATCH(105,SearchDB!$L$2:$L$2222,0)),"")</f>
        <v/>
      </c>
      <c r="D110" s="23" t="str">
        <f aca="false">IFERROR(INDEX(SearchDB!$B$2:$B$2222,MATCH(105,SearchDB!$L$2:$L$2222,0)),"")</f>
        <v/>
      </c>
      <c r="E110" s="22" t="str">
        <f aca="false">IFERROR(INDEX(SearchDB!$C$2:$C$2222,MATCH(105,SearchDB!$L$2:$L$2222,0)),"")</f>
        <v/>
      </c>
      <c r="F110" s="23" t="str">
        <f aca="false">IFERROR(IF(INDEX(SearchDB!$D$2:$D$2222,MATCH(105,SearchDB!$L$2:$L$2222,0))=0,"",INDEX(SearchDB!$D$2:$D$2222,MATCH(105,SearchDB!$L$2:$L$2222,0))),"")</f>
        <v/>
      </c>
      <c r="G110" s="23" t="str">
        <f aca="false">IFERROR(IF(INDEX(SearchDB!$E$2:$E$2222,MATCH(105,SearchDB!$L$2:$L$2222,0))=0,"",INDEX(SearchDB!$E$2:$E$2222,MATCH(105,SearchDB!$L$2:$L$2222,0))),"")</f>
        <v/>
      </c>
      <c r="H110" s="23" t="str">
        <f aca="false">IFERROR(IF(INDEX(SearchDB!$F$2:$F$2222,MATCH(105,SearchDB!$L$2:$L$2222,0))=0,"",INDEX(SearchDB!$F$2:$F$2222,MATCH(105,SearchDB!$L$2:$L$2222,0))),"")</f>
        <v/>
      </c>
      <c r="I110" s="23" t="str">
        <f aca="false">IFERROR(IF(INDEX(SearchDB!$G$2:$G$2222,MATCH(105,SearchDB!$L$2:$L$2222,0))=0,"",INDEX(SearchDB!$G$2:$G$2222,MATCH(105,SearchDB!$L$2:$L$2222,0))),"")</f>
        <v/>
      </c>
      <c r="J110" s="23" t="str">
        <f aca="false">IFERROR(IF(INDEX(SearchDB!$H$2:$H$2222,MATCH(105,SearchDB!$L$2:$L$2222,0))=0,"",INDEX(SearchDB!$H$2:$H$2222,MATCH(105,SearchDB!$L$2:$L$2222,0))),"")</f>
        <v/>
      </c>
      <c r="K110" s="24"/>
    </row>
    <row r="111" customFormat="false" ht="19.5" hidden="false" customHeight="true" outlineLevel="0" collapsed="false">
      <c r="A111" s="2"/>
      <c r="B111" s="25" t="n">
        <v>106</v>
      </c>
      <c r="C111" s="26" t="str">
        <f aca="false">IFERROR(INDEX(SearchDB!$A$2:$A$2222,MATCH(106,SearchDB!$L$2:$L$2222,0)),"")</f>
        <v/>
      </c>
      <c r="D111" s="26" t="str">
        <f aca="false">IFERROR(INDEX(SearchDB!$B$2:$B$2222,MATCH(106,SearchDB!$L$2:$L$2222,0)),"")</f>
        <v/>
      </c>
      <c r="E111" s="25" t="str">
        <f aca="false">IFERROR(INDEX(SearchDB!$C$2:$C$2222,MATCH(106,SearchDB!$L$2:$L$2222,0)),"")</f>
        <v/>
      </c>
      <c r="F111" s="26" t="str">
        <f aca="false">IFERROR(IF(INDEX(SearchDB!$D$2:$D$2222,MATCH(106,SearchDB!$L$2:$L$2222,0))=0,"",INDEX(SearchDB!$D$2:$D$2222,MATCH(106,SearchDB!$L$2:$L$2222,0))),"")</f>
        <v/>
      </c>
      <c r="G111" s="26" t="str">
        <f aca="false">IFERROR(IF(INDEX(SearchDB!$E$2:$E$2222,MATCH(106,SearchDB!$L$2:$L$2222,0))=0,"",INDEX(SearchDB!$E$2:$E$2222,MATCH(106,SearchDB!$L$2:$L$2222,0))),"")</f>
        <v/>
      </c>
      <c r="H111" s="26" t="str">
        <f aca="false">IFERROR(IF(INDEX(SearchDB!$F$2:$F$2222,MATCH(106,SearchDB!$L$2:$L$2222,0))=0,"",INDEX(SearchDB!$F$2:$F$2222,MATCH(106,SearchDB!$L$2:$L$2222,0))),"")</f>
        <v/>
      </c>
      <c r="I111" s="26" t="str">
        <f aca="false">IFERROR(IF(INDEX(SearchDB!$G$2:$G$2222,MATCH(106,SearchDB!$L$2:$L$2222,0))=0,"",INDEX(SearchDB!$G$2:$G$2222,MATCH(106,SearchDB!$L$2:$L$2222,0))),"")</f>
        <v/>
      </c>
      <c r="J111" s="26" t="str">
        <f aca="false">IFERROR(IF(INDEX(SearchDB!$H$2:$H$2222,MATCH(106,SearchDB!$L$2:$L$2222,0))=0,"",INDEX(SearchDB!$H$2:$H$2222,MATCH(106,SearchDB!$L$2:$L$2222,0))),"")</f>
        <v/>
      </c>
      <c r="K111" s="24"/>
    </row>
    <row r="112" customFormat="false" ht="19.5" hidden="false" customHeight="true" outlineLevel="0" collapsed="false">
      <c r="A112" s="2"/>
      <c r="B112" s="22" t="n">
        <v>107</v>
      </c>
      <c r="C112" s="23" t="str">
        <f aca="false">IFERROR(INDEX(SearchDB!$A$2:$A$2222,MATCH(107,SearchDB!$L$2:$L$2222,0)),"")</f>
        <v/>
      </c>
      <c r="D112" s="23" t="str">
        <f aca="false">IFERROR(INDEX(SearchDB!$B$2:$B$2222,MATCH(107,SearchDB!$L$2:$L$2222,0)),"")</f>
        <v/>
      </c>
      <c r="E112" s="22" t="str">
        <f aca="false">IFERROR(INDEX(SearchDB!$C$2:$C$2222,MATCH(107,SearchDB!$L$2:$L$2222,0)),"")</f>
        <v/>
      </c>
      <c r="F112" s="23" t="str">
        <f aca="false">IFERROR(IF(INDEX(SearchDB!$D$2:$D$2222,MATCH(107,SearchDB!$L$2:$L$2222,0))=0,"",INDEX(SearchDB!$D$2:$D$2222,MATCH(107,SearchDB!$L$2:$L$2222,0))),"")</f>
        <v/>
      </c>
      <c r="G112" s="23" t="str">
        <f aca="false">IFERROR(IF(INDEX(SearchDB!$E$2:$E$2222,MATCH(107,SearchDB!$L$2:$L$2222,0))=0,"",INDEX(SearchDB!$E$2:$E$2222,MATCH(107,SearchDB!$L$2:$L$2222,0))),"")</f>
        <v/>
      </c>
      <c r="H112" s="23" t="str">
        <f aca="false">IFERROR(IF(INDEX(SearchDB!$F$2:$F$2222,MATCH(107,SearchDB!$L$2:$L$2222,0))=0,"",INDEX(SearchDB!$F$2:$F$2222,MATCH(107,SearchDB!$L$2:$L$2222,0))),"")</f>
        <v/>
      </c>
      <c r="I112" s="23" t="str">
        <f aca="false">IFERROR(IF(INDEX(SearchDB!$G$2:$G$2222,MATCH(107,SearchDB!$L$2:$L$2222,0))=0,"",INDEX(SearchDB!$G$2:$G$2222,MATCH(107,SearchDB!$L$2:$L$2222,0))),"")</f>
        <v/>
      </c>
      <c r="J112" s="23" t="str">
        <f aca="false">IFERROR(IF(INDEX(SearchDB!$H$2:$H$2222,MATCH(107,SearchDB!$L$2:$L$2222,0))=0,"",INDEX(SearchDB!$H$2:$H$2222,MATCH(107,SearchDB!$L$2:$L$2222,0))),"")</f>
        <v/>
      </c>
      <c r="K112" s="24"/>
    </row>
    <row r="113" customFormat="false" ht="19.5" hidden="false" customHeight="true" outlineLevel="0" collapsed="false">
      <c r="A113" s="2"/>
      <c r="B113" s="25" t="n">
        <v>108</v>
      </c>
      <c r="C113" s="26" t="str">
        <f aca="false">IFERROR(INDEX(SearchDB!$A$2:$A$2222,MATCH(108,SearchDB!$L$2:$L$2222,0)),"")</f>
        <v/>
      </c>
      <c r="D113" s="26" t="str">
        <f aca="false">IFERROR(INDEX(SearchDB!$B$2:$B$2222,MATCH(108,SearchDB!$L$2:$L$2222,0)),"")</f>
        <v/>
      </c>
      <c r="E113" s="25" t="str">
        <f aca="false">IFERROR(INDEX(SearchDB!$C$2:$C$2222,MATCH(108,SearchDB!$L$2:$L$2222,0)),"")</f>
        <v/>
      </c>
      <c r="F113" s="26" t="str">
        <f aca="false">IFERROR(IF(INDEX(SearchDB!$D$2:$D$2222,MATCH(108,SearchDB!$L$2:$L$2222,0))=0,"",INDEX(SearchDB!$D$2:$D$2222,MATCH(108,SearchDB!$L$2:$L$2222,0))),"")</f>
        <v/>
      </c>
      <c r="G113" s="26" t="str">
        <f aca="false">IFERROR(IF(INDEX(SearchDB!$E$2:$E$2222,MATCH(108,SearchDB!$L$2:$L$2222,0))=0,"",INDEX(SearchDB!$E$2:$E$2222,MATCH(108,SearchDB!$L$2:$L$2222,0))),"")</f>
        <v/>
      </c>
      <c r="H113" s="26" t="str">
        <f aca="false">IFERROR(IF(INDEX(SearchDB!$F$2:$F$2222,MATCH(108,SearchDB!$L$2:$L$2222,0))=0,"",INDEX(SearchDB!$F$2:$F$2222,MATCH(108,SearchDB!$L$2:$L$2222,0))),"")</f>
        <v/>
      </c>
      <c r="I113" s="26" t="str">
        <f aca="false">IFERROR(IF(INDEX(SearchDB!$G$2:$G$2222,MATCH(108,SearchDB!$L$2:$L$2222,0))=0,"",INDEX(SearchDB!$G$2:$G$2222,MATCH(108,SearchDB!$L$2:$L$2222,0))),"")</f>
        <v/>
      </c>
      <c r="J113" s="26" t="str">
        <f aca="false">IFERROR(IF(INDEX(SearchDB!$H$2:$H$2222,MATCH(108,SearchDB!$L$2:$L$2222,0))=0,"",INDEX(SearchDB!$H$2:$H$2222,MATCH(108,SearchDB!$L$2:$L$2222,0))),"")</f>
        <v/>
      </c>
      <c r="K113" s="24"/>
    </row>
    <row r="114" customFormat="false" ht="19.5" hidden="false" customHeight="true" outlineLevel="0" collapsed="false">
      <c r="A114" s="2"/>
      <c r="B114" s="22" t="n">
        <v>109</v>
      </c>
      <c r="C114" s="23" t="str">
        <f aca="false">IFERROR(INDEX(SearchDB!$A$2:$A$2222,MATCH(109,SearchDB!$L$2:$L$2222,0)),"")</f>
        <v/>
      </c>
      <c r="D114" s="23" t="str">
        <f aca="false">IFERROR(INDEX(SearchDB!$B$2:$B$2222,MATCH(109,SearchDB!$L$2:$L$2222,0)),"")</f>
        <v/>
      </c>
      <c r="E114" s="22" t="str">
        <f aca="false">IFERROR(INDEX(SearchDB!$C$2:$C$2222,MATCH(109,SearchDB!$L$2:$L$2222,0)),"")</f>
        <v/>
      </c>
      <c r="F114" s="23" t="str">
        <f aca="false">IFERROR(IF(INDEX(SearchDB!$D$2:$D$2222,MATCH(109,SearchDB!$L$2:$L$2222,0))=0,"",INDEX(SearchDB!$D$2:$D$2222,MATCH(109,SearchDB!$L$2:$L$2222,0))),"")</f>
        <v/>
      </c>
      <c r="G114" s="23" t="str">
        <f aca="false">IFERROR(IF(INDEX(SearchDB!$E$2:$E$2222,MATCH(109,SearchDB!$L$2:$L$2222,0))=0,"",INDEX(SearchDB!$E$2:$E$2222,MATCH(109,SearchDB!$L$2:$L$2222,0))),"")</f>
        <v/>
      </c>
      <c r="H114" s="23" t="str">
        <f aca="false">IFERROR(IF(INDEX(SearchDB!$F$2:$F$2222,MATCH(109,SearchDB!$L$2:$L$2222,0))=0,"",INDEX(SearchDB!$F$2:$F$2222,MATCH(109,SearchDB!$L$2:$L$2222,0))),"")</f>
        <v/>
      </c>
      <c r="I114" s="23" t="str">
        <f aca="false">IFERROR(IF(INDEX(SearchDB!$G$2:$G$2222,MATCH(109,SearchDB!$L$2:$L$2222,0))=0,"",INDEX(SearchDB!$G$2:$G$2222,MATCH(109,SearchDB!$L$2:$L$2222,0))),"")</f>
        <v/>
      </c>
      <c r="J114" s="23" t="str">
        <f aca="false">IFERROR(IF(INDEX(SearchDB!$H$2:$H$2222,MATCH(109,SearchDB!$L$2:$L$2222,0))=0,"",INDEX(SearchDB!$H$2:$H$2222,MATCH(109,SearchDB!$L$2:$L$2222,0))),"")</f>
        <v/>
      </c>
      <c r="K114" s="24"/>
    </row>
    <row r="115" customFormat="false" ht="19.5" hidden="false" customHeight="true" outlineLevel="0" collapsed="false">
      <c r="A115" s="2"/>
      <c r="B115" s="25" t="n">
        <v>110</v>
      </c>
      <c r="C115" s="26" t="str">
        <f aca="false">IFERROR(INDEX(SearchDB!$A$2:$A$2222,MATCH(110,SearchDB!$L$2:$L$2222,0)),"")</f>
        <v/>
      </c>
      <c r="D115" s="26" t="str">
        <f aca="false">IFERROR(INDEX(SearchDB!$B$2:$B$2222,MATCH(110,SearchDB!$L$2:$L$2222,0)),"")</f>
        <v/>
      </c>
      <c r="E115" s="25" t="str">
        <f aca="false">IFERROR(INDEX(SearchDB!$C$2:$C$2222,MATCH(110,SearchDB!$L$2:$L$2222,0)),"")</f>
        <v/>
      </c>
      <c r="F115" s="26" t="str">
        <f aca="false">IFERROR(IF(INDEX(SearchDB!$D$2:$D$2222,MATCH(110,SearchDB!$L$2:$L$2222,0))=0,"",INDEX(SearchDB!$D$2:$D$2222,MATCH(110,SearchDB!$L$2:$L$2222,0))),"")</f>
        <v/>
      </c>
      <c r="G115" s="26" t="str">
        <f aca="false">IFERROR(IF(INDEX(SearchDB!$E$2:$E$2222,MATCH(110,SearchDB!$L$2:$L$2222,0))=0,"",INDEX(SearchDB!$E$2:$E$2222,MATCH(110,SearchDB!$L$2:$L$2222,0))),"")</f>
        <v/>
      </c>
      <c r="H115" s="26" t="str">
        <f aca="false">IFERROR(IF(INDEX(SearchDB!$F$2:$F$2222,MATCH(110,SearchDB!$L$2:$L$2222,0))=0,"",INDEX(SearchDB!$F$2:$F$2222,MATCH(110,SearchDB!$L$2:$L$2222,0))),"")</f>
        <v/>
      </c>
      <c r="I115" s="26" t="str">
        <f aca="false">IFERROR(IF(INDEX(SearchDB!$G$2:$G$2222,MATCH(110,SearchDB!$L$2:$L$2222,0))=0,"",INDEX(SearchDB!$G$2:$G$2222,MATCH(110,SearchDB!$L$2:$L$2222,0))),"")</f>
        <v/>
      </c>
      <c r="J115" s="26" t="str">
        <f aca="false">IFERROR(IF(INDEX(SearchDB!$H$2:$H$2222,MATCH(110,SearchDB!$L$2:$L$2222,0))=0,"",INDEX(SearchDB!$H$2:$H$2222,MATCH(110,SearchDB!$L$2:$L$2222,0))),"")</f>
        <v/>
      </c>
      <c r="K115" s="24"/>
    </row>
    <row r="116" customFormat="false" ht="19.5" hidden="false" customHeight="true" outlineLevel="0" collapsed="false">
      <c r="A116" s="2"/>
      <c r="B116" s="22" t="n">
        <v>111</v>
      </c>
      <c r="C116" s="23" t="str">
        <f aca="false">IFERROR(INDEX(SearchDB!$A$2:$A$2222,MATCH(111,SearchDB!$L$2:$L$2222,0)),"")</f>
        <v/>
      </c>
      <c r="D116" s="23" t="str">
        <f aca="false">IFERROR(INDEX(SearchDB!$B$2:$B$2222,MATCH(111,SearchDB!$L$2:$L$2222,0)),"")</f>
        <v/>
      </c>
      <c r="E116" s="22" t="str">
        <f aca="false">IFERROR(INDEX(SearchDB!$C$2:$C$2222,MATCH(111,SearchDB!$L$2:$L$2222,0)),"")</f>
        <v/>
      </c>
      <c r="F116" s="23" t="str">
        <f aca="false">IFERROR(IF(INDEX(SearchDB!$D$2:$D$2222,MATCH(111,SearchDB!$L$2:$L$2222,0))=0,"",INDEX(SearchDB!$D$2:$D$2222,MATCH(111,SearchDB!$L$2:$L$2222,0))),"")</f>
        <v/>
      </c>
      <c r="G116" s="23" t="str">
        <f aca="false">IFERROR(IF(INDEX(SearchDB!$E$2:$E$2222,MATCH(111,SearchDB!$L$2:$L$2222,0))=0,"",INDEX(SearchDB!$E$2:$E$2222,MATCH(111,SearchDB!$L$2:$L$2222,0))),"")</f>
        <v/>
      </c>
      <c r="H116" s="23" t="str">
        <f aca="false">IFERROR(IF(INDEX(SearchDB!$F$2:$F$2222,MATCH(111,SearchDB!$L$2:$L$2222,0))=0,"",INDEX(SearchDB!$F$2:$F$2222,MATCH(111,SearchDB!$L$2:$L$2222,0))),"")</f>
        <v/>
      </c>
      <c r="I116" s="23" t="str">
        <f aca="false">IFERROR(IF(INDEX(SearchDB!$G$2:$G$2222,MATCH(111,SearchDB!$L$2:$L$2222,0))=0,"",INDEX(SearchDB!$G$2:$G$2222,MATCH(111,SearchDB!$L$2:$L$2222,0))),"")</f>
        <v/>
      </c>
      <c r="J116" s="23" t="str">
        <f aca="false">IFERROR(IF(INDEX(SearchDB!$H$2:$H$2222,MATCH(111,SearchDB!$L$2:$L$2222,0))=0,"",INDEX(SearchDB!$H$2:$H$2222,MATCH(111,SearchDB!$L$2:$L$2222,0))),"")</f>
        <v/>
      </c>
      <c r="K116" s="24"/>
    </row>
    <row r="117" customFormat="false" ht="19.5" hidden="false" customHeight="true" outlineLevel="0" collapsed="false">
      <c r="A117" s="2"/>
      <c r="B117" s="25" t="n">
        <v>112</v>
      </c>
      <c r="C117" s="26" t="str">
        <f aca="false">IFERROR(INDEX(SearchDB!$A$2:$A$2222,MATCH(112,SearchDB!$L$2:$L$2222,0)),"")</f>
        <v/>
      </c>
      <c r="D117" s="26" t="str">
        <f aca="false">IFERROR(INDEX(SearchDB!$B$2:$B$2222,MATCH(112,SearchDB!$L$2:$L$2222,0)),"")</f>
        <v/>
      </c>
      <c r="E117" s="25" t="str">
        <f aca="false">IFERROR(INDEX(SearchDB!$C$2:$C$2222,MATCH(112,SearchDB!$L$2:$L$2222,0)),"")</f>
        <v/>
      </c>
      <c r="F117" s="26" t="str">
        <f aca="false">IFERROR(IF(INDEX(SearchDB!$D$2:$D$2222,MATCH(112,SearchDB!$L$2:$L$2222,0))=0,"",INDEX(SearchDB!$D$2:$D$2222,MATCH(112,SearchDB!$L$2:$L$2222,0))),"")</f>
        <v/>
      </c>
      <c r="G117" s="26" t="str">
        <f aca="false">IFERROR(IF(INDEX(SearchDB!$E$2:$E$2222,MATCH(112,SearchDB!$L$2:$L$2222,0))=0,"",INDEX(SearchDB!$E$2:$E$2222,MATCH(112,SearchDB!$L$2:$L$2222,0))),"")</f>
        <v/>
      </c>
      <c r="H117" s="26" t="str">
        <f aca="false">IFERROR(IF(INDEX(SearchDB!$F$2:$F$2222,MATCH(112,SearchDB!$L$2:$L$2222,0))=0,"",INDEX(SearchDB!$F$2:$F$2222,MATCH(112,SearchDB!$L$2:$L$2222,0))),"")</f>
        <v/>
      </c>
      <c r="I117" s="26" t="str">
        <f aca="false">IFERROR(IF(INDEX(SearchDB!$G$2:$G$2222,MATCH(112,SearchDB!$L$2:$L$2222,0))=0,"",INDEX(SearchDB!$G$2:$G$2222,MATCH(112,SearchDB!$L$2:$L$2222,0))),"")</f>
        <v/>
      </c>
      <c r="J117" s="26" t="str">
        <f aca="false">IFERROR(IF(INDEX(SearchDB!$H$2:$H$2222,MATCH(112,SearchDB!$L$2:$L$2222,0))=0,"",INDEX(SearchDB!$H$2:$H$2222,MATCH(112,SearchDB!$L$2:$L$2222,0))),"")</f>
        <v/>
      </c>
      <c r="K117" s="24"/>
    </row>
    <row r="118" customFormat="false" ht="19.5" hidden="false" customHeight="true" outlineLevel="0" collapsed="false">
      <c r="A118" s="2"/>
      <c r="B118" s="22" t="n">
        <v>113</v>
      </c>
      <c r="C118" s="23" t="str">
        <f aca="false">IFERROR(INDEX(SearchDB!$A$2:$A$2222,MATCH(113,SearchDB!$L$2:$L$2222,0)),"")</f>
        <v/>
      </c>
      <c r="D118" s="23" t="str">
        <f aca="false">IFERROR(INDEX(SearchDB!$B$2:$B$2222,MATCH(113,SearchDB!$L$2:$L$2222,0)),"")</f>
        <v/>
      </c>
      <c r="E118" s="22" t="str">
        <f aca="false">IFERROR(INDEX(SearchDB!$C$2:$C$2222,MATCH(113,SearchDB!$L$2:$L$2222,0)),"")</f>
        <v/>
      </c>
      <c r="F118" s="23" t="str">
        <f aca="false">IFERROR(IF(INDEX(SearchDB!$D$2:$D$2222,MATCH(113,SearchDB!$L$2:$L$2222,0))=0,"",INDEX(SearchDB!$D$2:$D$2222,MATCH(113,SearchDB!$L$2:$L$2222,0))),"")</f>
        <v/>
      </c>
      <c r="G118" s="23" t="str">
        <f aca="false">IFERROR(IF(INDEX(SearchDB!$E$2:$E$2222,MATCH(113,SearchDB!$L$2:$L$2222,0))=0,"",INDEX(SearchDB!$E$2:$E$2222,MATCH(113,SearchDB!$L$2:$L$2222,0))),"")</f>
        <v/>
      </c>
      <c r="H118" s="23" t="str">
        <f aca="false">IFERROR(IF(INDEX(SearchDB!$F$2:$F$2222,MATCH(113,SearchDB!$L$2:$L$2222,0))=0,"",INDEX(SearchDB!$F$2:$F$2222,MATCH(113,SearchDB!$L$2:$L$2222,0))),"")</f>
        <v/>
      </c>
      <c r="I118" s="23" t="str">
        <f aca="false">IFERROR(IF(INDEX(SearchDB!$G$2:$G$2222,MATCH(113,SearchDB!$L$2:$L$2222,0))=0,"",INDEX(SearchDB!$G$2:$G$2222,MATCH(113,SearchDB!$L$2:$L$2222,0))),"")</f>
        <v/>
      </c>
      <c r="J118" s="23" t="str">
        <f aca="false">IFERROR(IF(INDEX(SearchDB!$H$2:$H$2222,MATCH(113,SearchDB!$L$2:$L$2222,0))=0,"",INDEX(SearchDB!$H$2:$H$2222,MATCH(113,SearchDB!$L$2:$L$2222,0))),"")</f>
        <v/>
      </c>
      <c r="K118" s="24"/>
    </row>
    <row r="119" customFormat="false" ht="19.5" hidden="false" customHeight="true" outlineLevel="0" collapsed="false">
      <c r="A119" s="2"/>
      <c r="B119" s="25" t="n">
        <v>114</v>
      </c>
      <c r="C119" s="26" t="str">
        <f aca="false">IFERROR(INDEX(SearchDB!$A$2:$A$2222,MATCH(114,SearchDB!$L$2:$L$2222,0)),"")</f>
        <v/>
      </c>
      <c r="D119" s="26" t="str">
        <f aca="false">IFERROR(INDEX(SearchDB!$B$2:$B$2222,MATCH(114,SearchDB!$L$2:$L$2222,0)),"")</f>
        <v/>
      </c>
      <c r="E119" s="25" t="str">
        <f aca="false">IFERROR(INDEX(SearchDB!$C$2:$C$2222,MATCH(114,SearchDB!$L$2:$L$2222,0)),"")</f>
        <v/>
      </c>
      <c r="F119" s="26" t="str">
        <f aca="false">IFERROR(IF(INDEX(SearchDB!$D$2:$D$2222,MATCH(114,SearchDB!$L$2:$L$2222,0))=0,"",INDEX(SearchDB!$D$2:$D$2222,MATCH(114,SearchDB!$L$2:$L$2222,0))),"")</f>
        <v/>
      </c>
      <c r="G119" s="26" t="str">
        <f aca="false">IFERROR(IF(INDEX(SearchDB!$E$2:$E$2222,MATCH(114,SearchDB!$L$2:$L$2222,0))=0,"",INDEX(SearchDB!$E$2:$E$2222,MATCH(114,SearchDB!$L$2:$L$2222,0))),"")</f>
        <v/>
      </c>
      <c r="H119" s="26" t="str">
        <f aca="false">IFERROR(IF(INDEX(SearchDB!$F$2:$F$2222,MATCH(114,SearchDB!$L$2:$L$2222,0))=0,"",INDEX(SearchDB!$F$2:$F$2222,MATCH(114,SearchDB!$L$2:$L$2222,0))),"")</f>
        <v/>
      </c>
      <c r="I119" s="26" t="str">
        <f aca="false">IFERROR(IF(INDEX(SearchDB!$G$2:$G$2222,MATCH(114,SearchDB!$L$2:$L$2222,0))=0,"",INDEX(SearchDB!$G$2:$G$2222,MATCH(114,SearchDB!$L$2:$L$2222,0))),"")</f>
        <v/>
      </c>
      <c r="J119" s="26" t="str">
        <f aca="false">IFERROR(IF(INDEX(SearchDB!$H$2:$H$2222,MATCH(114,SearchDB!$L$2:$L$2222,0))=0,"",INDEX(SearchDB!$H$2:$H$2222,MATCH(114,SearchDB!$L$2:$L$2222,0))),"")</f>
        <v/>
      </c>
      <c r="K119" s="24"/>
    </row>
    <row r="120" customFormat="false" ht="19.5" hidden="false" customHeight="true" outlineLevel="0" collapsed="false">
      <c r="A120" s="2"/>
      <c r="B120" s="22" t="n">
        <v>115</v>
      </c>
      <c r="C120" s="23" t="str">
        <f aca="false">IFERROR(INDEX(SearchDB!$A$2:$A$2222,MATCH(115,SearchDB!$L$2:$L$2222,0)),"")</f>
        <v/>
      </c>
      <c r="D120" s="23" t="str">
        <f aca="false">IFERROR(INDEX(SearchDB!$B$2:$B$2222,MATCH(115,SearchDB!$L$2:$L$2222,0)),"")</f>
        <v/>
      </c>
      <c r="E120" s="22" t="str">
        <f aca="false">IFERROR(INDEX(SearchDB!$C$2:$C$2222,MATCH(115,SearchDB!$L$2:$L$2222,0)),"")</f>
        <v/>
      </c>
      <c r="F120" s="23" t="str">
        <f aca="false">IFERROR(IF(INDEX(SearchDB!$D$2:$D$2222,MATCH(115,SearchDB!$L$2:$L$2222,0))=0,"",INDEX(SearchDB!$D$2:$D$2222,MATCH(115,SearchDB!$L$2:$L$2222,0))),"")</f>
        <v/>
      </c>
      <c r="G120" s="23" t="str">
        <f aca="false">IFERROR(IF(INDEX(SearchDB!$E$2:$E$2222,MATCH(115,SearchDB!$L$2:$L$2222,0))=0,"",INDEX(SearchDB!$E$2:$E$2222,MATCH(115,SearchDB!$L$2:$L$2222,0))),"")</f>
        <v/>
      </c>
      <c r="H120" s="23" t="str">
        <f aca="false">IFERROR(IF(INDEX(SearchDB!$F$2:$F$2222,MATCH(115,SearchDB!$L$2:$L$2222,0))=0,"",INDEX(SearchDB!$F$2:$F$2222,MATCH(115,SearchDB!$L$2:$L$2222,0))),"")</f>
        <v/>
      </c>
      <c r="I120" s="23" t="str">
        <f aca="false">IFERROR(IF(INDEX(SearchDB!$G$2:$G$2222,MATCH(115,SearchDB!$L$2:$L$2222,0))=0,"",INDEX(SearchDB!$G$2:$G$2222,MATCH(115,SearchDB!$L$2:$L$2222,0))),"")</f>
        <v/>
      </c>
      <c r="J120" s="23" t="str">
        <f aca="false">IFERROR(IF(INDEX(SearchDB!$H$2:$H$2222,MATCH(115,SearchDB!$L$2:$L$2222,0))=0,"",INDEX(SearchDB!$H$2:$H$2222,MATCH(115,SearchDB!$L$2:$L$2222,0))),"")</f>
        <v/>
      </c>
      <c r="K120" s="24"/>
    </row>
    <row r="121" customFormat="false" ht="19.5" hidden="false" customHeight="true" outlineLevel="0" collapsed="false">
      <c r="A121" s="2"/>
      <c r="B121" s="25" t="n">
        <v>116</v>
      </c>
      <c r="C121" s="26" t="str">
        <f aca="false">IFERROR(INDEX(SearchDB!$A$2:$A$2222,MATCH(116,SearchDB!$L$2:$L$2222,0)),"")</f>
        <v/>
      </c>
      <c r="D121" s="26" t="str">
        <f aca="false">IFERROR(INDEX(SearchDB!$B$2:$B$2222,MATCH(116,SearchDB!$L$2:$L$2222,0)),"")</f>
        <v/>
      </c>
      <c r="E121" s="25" t="str">
        <f aca="false">IFERROR(INDEX(SearchDB!$C$2:$C$2222,MATCH(116,SearchDB!$L$2:$L$2222,0)),"")</f>
        <v/>
      </c>
      <c r="F121" s="26" t="str">
        <f aca="false">IFERROR(IF(INDEX(SearchDB!$D$2:$D$2222,MATCH(116,SearchDB!$L$2:$L$2222,0))=0,"",INDEX(SearchDB!$D$2:$D$2222,MATCH(116,SearchDB!$L$2:$L$2222,0))),"")</f>
        <v/>
      </c>
      <c r="G121" s="26" t="str">
        <f aca="false">IFERROR(IF(INDEX(SearchDB!$E$2:$E$2222,MATCH(116,SearchDB!$L$2:$L$2222,0))=0,"",INDEX(SearchDB!$E$2:$E$2222,MATCH(116,SearchDB!$L$2:$L$2222,0))),"")</f>
        <v/>
      </c>
      <c r="H121" s="26" t="str">
        <f aca="false">IFERROR(IF(INDEX(SearchDB!$F$2:$F$2222,MATCH(116,SearchDB!$L$2:$L$2222,0))=0,"",INDEX(SearchDB!$F$2:$F$2222,MATCH(116,SearchDB!$L$2:$L$2222,0))),"")</f>
        <v/>
      </c>
      <c r="I121" s="26" t="str">
        <f aca="false">IFERROR(IF(INDEX(SearchDB!$G$2:$G$2222,MATCH(116,SearchDB!$L$2:$L$2222,0))=0,"",INDEX(SearchDB!$G$2:$G$2222,MATCH(116,SearchDB!$L$2:$L$2222,0))),"")</f>
        <v/>
      </c>
      <c r="J121" s="26" t="str">
        <f aca="false">IFERROR(IF(INDEX(SearchDB!$H$2:$H$2222,MATCH(116,SearchDB!$L$2:$L$2222,0))=0,"",INDEX(SearchDB!$H$2:$H$2222,MATCH(116,SearchDB!$L$2:$L$2222,0))),"")</f>
        <v/>
      </c>
      <c r="K121" s="24"/>
    </row>
    <row r="122" customFormat="false" ht="19.5" hidden="false" customHeight="true" outlineLevel="0" collapsed="false">
      <c r="A122" s="2"/>
      <c r="B122" s="22" t="n">
        <v>117</v>
      </c>
      <c r="C122" s="23" t="str">
        <f aca="false">IFERROR(INDEX(SearchDB!$A$2:$A$2222,MATCH(117,SearchDB!$L$2:$L$2222,0)),"")</f>
        <v/>
      </c>
      <c r="D122" s="23" t="str">
        <f aca="false">IFERROR(INDEX(SearchDB!$B$2:$B$2222,MATCH(117,SearchDB!$L$2:$L$2222,0)),"")</f>
        <v/>
      </c>
      <c r="E122" s="22" t="str">
        <f aca="false">IFERROR(INDEX(SearchDB!$C$2:$C$2222,MATCH(117,SearchDB!$L$2:$L$2222,0)),"")</f>
        <v/>
      </c>
      <c r="F122" s="23" t="str">
        <f aca="false">IFERROR(IF(INDEX(SearchDB!$D$2:$D$2222,MATCH(117,SearchDB!$L$2:$L$2222,0))=0,"",INDEX(SearchDB!$D$2:$D$2222,MATCH(117,SearchDB!$L$2:$L$2222,0))),"")</f>
        <v/>
      </c>
      <c r="G122" s="23" t="str">
        <f aca="false">IFERROR(IF(INDEX(SearchDB!$E$2:$E$2222,MATCH(117,SearchDB!$L$2:$L$2222,0))=0,"",INDEX(SearchDB!$E$2:$E$2222,MATCH(117,SearchDB!$L$2:$L$2222,0))),"")</f>
        <v/>
      </c>
      <c r="H122" s="23" t="str">
        <f aca="false">IFERROR(IF(INDEX(SearchDB!$F$2:$F$2222,MATCH(117,SearchDB!$L$2:$L$2222,0))=0,"",INDEX(SearchDB!$F$2:$F$2222,MATCH(117,SearchDB!$L$2:$L$2222,0))),"")</f>
        <v/>
      </c>
      <c r="I122" s="23" t="str">
        <f aca="false">IFERROR(IF(INDEX(SearchDB!$G$2:$G$2222,MATCH(117,SearchDB!$L$2:$L$2222,0))=0,"",INDEX(SearchDB!$G$2:$G$2222,MATCH(117,SearchDB!$L$2:$L$2222,0))),"")</f>
        <v/>
      </c>
      <c r="J122" s="23" t="str">
        <f aca="false">IFERROR(IF(INDEX(SearchDB!$H$2:$H$2222,MATCH(117,SearchDB!$L$2:$L$2222,0))=0,"",INDEX(SearchDB!$H$2:$H$2222,MATCH(117,SearchDB!$L$2:$L$2222,0))),"")</f>
        <v/>
      </c>
      <c r="K122" s="24"/>
    </row>
    <row r="123" customFormat="false" ht="19.5" hidden="false" customHeight="true" outlineLevel="0" collapsed="false">
      <c r="A123" s="2"/>
      <c r="B123" s="25" t="n">
        <v>118</v>
      </c>
      <c r="C123" s="26" t="str">
        <f aca="false">IFERROR(INDEX(SearchDB!$A$2:$A$2222,MATCH(118,SearchDB!$L$2:$L$2222,0)),"")</f>
        <v/>
      </c>
      <c r="D123" s="26" t="str">
        <f aca="false">IFERROR(INDEX(SearchDB!$B$2:$B$2222,MATCH(118,SearchDB!$L$2:$L$2222,0)),"")</f>
        <v/>
      </c>
      <c r="E123" s="25" t="str">
        <f aca="false">IFERROR(INDEX(SearchDB!$C$2:$C$2222,MATCH(118,SearchDB!$L$2:$L$2222,0)),"")</f>
        <v/>
      </c>
      <c r="F123" s="26" t="str">
        <f aca="false">IFERROR(IF(INDEX(SearchDB!$D$2:$D$2222,MATCH(118,SearchDB!$L$2:$L$2222,0))=0,"",INDEX(SearchDB!$D$2:$D$2222,MATCH(118,SearchDB!$L$2:$L$2222,0))),"")</f>
        <v/>
      </c>
      <c r="G123" s="26" t="str">
        <f aca="false">IFERROR(IF(INDEX(SearchDB!$E$2:$E$2222,MATCH(118,SearchDB!$L$2:$L$2222,0))=0,"",INDEX(SearchDB!$E$2:$E$2222,MATCH(118,SearchDB!$L$2:$L$2222,0))),"")</f>
        <v/>
      </c>
      <c r="H123" s="26" t="str">
        <f aca="false">IFERROR(IF(INDEX(SearchDB!$F$2:$F$2222,MATCH(118,SearchDB!$L$2:$L$2222,0))=0,"",INDEX(SearchDB!$F$2:$F$2222,MATCH(118,SearchDB!$L$2:$L$2222,0))),"")</f>
        <v/>
      </c>
      <c r="I123" s="26" t="str">
        <f aca="false">IFERROR(IF(INDEX(SearchDB!$G$2:$G$2222,MATCH(118,SearchDB!$L$2:$L$2222,0))=0,"",INDEX(SearchDB!$G$2:$G$2222,MATCH(118,SearchDB!$L$2:$L$2222,0))),"")</f>
        <v/>
      </c>
      <c r="J123" s="26" t="str">
        <f aca="false">IFERROR(IF(INDEX(SearchDB!$H$2:$H$2222,MATCH(118,SearchDB!$L$2:$L$2222,0))=0,"",INDEX(SearchDB!$H$2:$H$2222,MATCH(118,SearchDB!$L$2:$L$2222,0))),"")</f>
        <v/>
      </c>
      <c r="K123" s="24"/>
    </row>
    <row r="124" customFormat="false" ht="19.5" hidden="false" customHeight="true" outlineLevel="0" collapsed="false">
      <c r="A124" s="2"/>
      <c r="B124" s="22" t="n">
        <v>119</v>
      </c>
      <c r="C124" s="23" t="str">
        <f aca="false">IFERROR(INDEX(SearchDB!$A$2:$A$2222,MATCH(119,SearchDB!$L$2:$L$2222,0)),"")</f>
        <v/>
      </c>
      <c r="D124" s="23" t="str">
        <f aca="false">IFERROR(INDEX(SearchDB!$B$2:$B$2222,MATCH(119,SearchDB!$L$2:$L$2222,0)),"")</f>
        <v/>
      </c>
      <c r="E124" s="22" t="str">
        <f aca="false">IFERROR(INDEX(SearchDB!$C$2:$C$2222,MATCH(119,SearchDB!$L$2:$L$2222,0)),"")</f>
        <v/>
      </c>
      <c r="F124" s="23" t="str">
        <f aca="false">IFERROR(IF(INDEX(SearchDB!$D$2:$D$2222,MATCH(119,SearchDB!$L$2:$L$2222,0))=0,"",INDEX(SearchDB!$D$2:$D$2222,MATCH(119,SearchDB!$L$2:$L$2222,0))),"")</f>
        <v/>
      </c>
      <c r="G124" s="23" t="str">
        <f aca="false">IFERROR(IF(INDEX(SearchDB!$E$2:$E$2222,MATCH(119,SearchDB!$L$2:$L$2222,0))=0,"",INDEX(SearchDB!$E$2:$E$2222,MATCH(119,SearchDB!$L$2:$L$2222,0))),"")</f>
        <v/>
      </c>
      <c r="H124" s="23" t="str">
        <f aca="false">IFERROR(IF(INDEX(SearchDB!$F$2:$F$2222,MATCH(119,SearchDB!$L$2:$L$2222,0))=0,"",INDEX(SearchDB!$F$2:$F$2222,MATCH(119,SearchDB!$L$2:$L$2222,0))),"")</f>
        <v/>
      </c>
      <c r="I124" s="23" t="str">
        <f aca="false">IFERROR(IF(INDEX(SearchDB!$G$2:$G$2222,MATCH(119,SearchDB!$L$2:$L$2222,0))=0,"",INDEX(SearchDB!$G$2:$G$2222,MATCH(119,SearchDB!$L$2:$L$2222,0))),"")</f>
        <v/>
      </c>
      <c r="J124" s="23" t="str">
        <f aca="false">IFERROR(IF(INDEX(SearchDB!$H$2:$H$2222,MATCH(119,SearchDB!$L$2:$L$2222,0))=0,"",INDEX(SearchDB!$H$2:$H$2222,MATCH(119,SearchDB!$L$2:$L$2222,0))),"")</f>
        <v/>
      </c>
      <c r="K124" s="24"/>
    </row>
    <row r="125" customFormat="false" ht="19.5" hidden="false" customHeight="true" outlineLevel="0" collapsed="false">
      <c r="A125" s="2"/>
      <c r="B125" s="25" t="n">
        <v>120</v>
      </c>
      <c r="C125" s="26" t="str">
        <f aca="false">IFERROR(INDEX(SearchDB!$A$2:$A$2222,MATCH(120,SearchDB!$L$2:$L$2222,0)),"")</f>
        <v/>
      </c>
      <c r="D125" s="26" t="str">
        <f aca="false">IFERROR(INDEX(SearchDB!$B$2:$B$2222,MATCH(120,SearchDB!$L$2:$L$2222,0)),"")</f>
        <v/>
      </c>
      <c r="E125" s="25" t="str">
        <f aca="false">IFERROR(INDEX(SearchDB!$C$2:$C$2222,MATCH(120,SearchDB!$L$2:$L$2222,0)),"")</f>
        <v/>
      </c>
      <c r="F125" s="26" t="str">
        <f aca="false">IFERROR(IF(INDEX(SearchDB!$D$2:$D$2222,MATCH(120,SearchDB!$L$2:$L$2222,0))=0,"",INDEX(SearchDB!$D$2:$D$2222,MATCH(120,SearchDB!$L$2:$L$2222,0))),"")</f>
        <v/>
      </c>
      <c r="G125" s="26" t="str">
        <f aca="false">IFERROR(IF(INDEX(SearchDB!$E$2:$E$2222,MATCH(120,SearchDB!$L$2:$L$2222,0))=0,"",INDEX(SearchDB!$E$2:$E$2222,MATCH(120,SearchDB!$L$2:$L$2222,0))),"")</f>
        <v/>
      </c>
      <c r="H125" s="26" t="str">
        <f aca="false">IFERROR(IF(INDEX(SearchDB!$F$2:$F$2222,MATCH(120,SearchDB!$L$2:$L$2222,0))=0,"",INDEX(SearchDB!$F$2:$F$2222,MATCH(120,SearchDB!$L$2:$L$2222,0))),"")</f>
        <v/>
      </c>
      <c r="I125" s="26" t="str">
        <f aca="false">IFERROR(IF(INDEX(SearchDB!$G$2:$G$2222,MATCH(120,SearchDB!$L$2:$L$2222,0))=0,"",INDEX(SearchDB!$G$2:$G$2222,MATCH(120,SearchDB!$L$2:$L$2222,0))),"")</f>
        <v/>
      </c>
      <c r="J125" s="26" t="str">
        <f aca="false">IFERROR(IF(INDEX(SearchDB!$H$2:$H$2222,MATCH(120,SearchDB!$L$2:$L$2222,0))=0,"",INDEX(SearchDB!$H$2:$H$2222,MATCH(120,SearchDB!$L$2:$L$2222,0))),"")</f>
        <v/>
      </c>
      <c r="K125" s="24"/>
    </row>
    <row r="126" customFormat="false" ht="19.5" hidden="false" customHeight="true" outlineLevel="0" collapsed="false">
      <c r="A126" s="2"/>
      <c r="B126" s="22" t="n">
        <v>121</v>
      </c>
      <c r="C126" s="23" t="str">
        <f aca="false">IFERROR(INDEX(SearchDB!$A$2:$A$2222,MATCH(121,SearchDB!$L$2:$L$2222,0)),"")</f>
        <v/>
      </c>
      <c r="D126" s="23" t="str">
        <f aca="false">IFERROR(INDEX(SearchDB!$B$2:$B$2222,MATCH(121,SearchDB!$L$2:$L$2222,0)),"")</f>
        <v/>
      </c>
      <c r="E126" s="22" t="str">
        <f aca="false">IFERROR(INDEX(SearchDB!$C$2:$C$2222,MATCH(121,SearchDB!$L$2:$L$2222,0)),"")</f>
        <v/>
      </c>
      <c r="F126" s="23" t="str">
        <f aca="false">IFERROR(IF(INDEX(SearchDB!$D$2:$D$2222,MATCH(121,SearchDB!$L$2:$L$2222,0))=0,"",INDEX(SearchDB!$D$2:$D$2222,MATCH(121,SearchDB!$L$2:$L$2222,0))),"")</f>
        <v/>
      </c>
      <c r="G126" s="23" t="str">
        <f aca="false">IFERROR(IF(INDEX(SearchDB!$E$2:$E$2222,MATCH(121,SearchDB!$L$2:$L$2222,0))=0,"",INDEX(SearchDB!$E$2:$E$2222,MATCH(121,SearchDB!$L$2:$L$2222,0))),"")</f>
        <v/>
      </c>
      <c r="H126" s="23" t="str">
        <f aca="false">IFERROR(IF(INDEX(SearchDB!$F$2:$F$2222,MATCH(121,SearchDB!$L$2:$L$2222,0))=0,"",INDEX(SearchDB!$F$2:$F$2222,MATCH(121,SearchDB!$L$2:$L$2222,0))),"")</f>
        <v/>
      </c>
      <c r="I126" s="23" t="str">
        <f aca="false">IFERROR(IF(INDEX(SearchDB!$G$2:$G$2222,MATCH(121,SearchDB!$L$2:$L$2222,0))=0,"",INDEX(SearchDB!$G$2:$G$2222,MATCH(121,SearchDB!$L$2:$L$2222,0))),"")</f>
        <v/>
      </c>
      <c r="J126" s="23" t="str">
        <f aca="false">IFERROR(IF(INDEX(SearchDB!$H$2:$H$2222,MATCH(121,SearchDB!$L$2:$L$2222,0))=0,"",INDEX(SearchDB!$H$2:$H$2222,MATCH(121,SearchDB!$L$2:$L$2222,0))),"")</f>
        <v/>
      </c>
      <c r="K126" s="24"/>
    </row>
    <row r="127" customFormat="false" ht="19.5" hidden="false" customHeight="true" outlineLevel="0" collapsed="false">
      <c r="A127" s="2"/>
      <c r="B127" s="25" t="n">
        <v>122</v>
      </c>
      <c r="C127" s="26" t="str">
        <f aca="false">IFERROR(INDEX(SearchDB!$A$2:$A$2222,MATCH(122,SearchDB!$L$2:$L$2222,0)),"")</f>
        <v/>
      </c>
      <c r="D127" s="26" t="str">
        <f aca="false">IFERROR(INDEX(SearchDB!$B$2:$B$2222,MATCH(122,SearchDB!$L$2:$L$2222,0)),"")</f>
        <v/>
      </c>
      <c r="E127" s="25" t="str">
        <f aca="false">IFERROR(INDEX(SearchDB!$C$2:$C$2222,MATCH(122,SearchDB!$L$2:$L$2222,0)),"")</f>
        <v/>
      </c>
      <c r="F127" s="26" t="str">
        <f aca="false">IFERROR(IF(INDEX(SearchDB!$D$2:$D$2222,MATCH(122,SearchDB!$L$2:$L$2222,0))=0,"",INDEX(SearchDB!$D$2:$D$2222,MATCH(122,SearchDB!$L$2:$L$2222,0))),"")</f>
        <v/>
      </c>
      <c r="G127" s="26" t="str">
        <f aca="false">IFERROR(IF(INDEX(SearchDB!$E$2:$E$2222,MATCH(122,SearchDB!$L$2:$L$2222,0))=0,"",INDEX(SearchDB!$E$2:$E$2222,MATCH(122,SearchDB!$L$2:$L$2222,0))),"")</f>
        <v/>
      </c>
      <c r="H127" s="26" t="str">
        <f aca="false">IFERROR(IF(INDEX(SearchDB!$F$2:$F$2222,MATCH(122,SearchDB!$L$2:$L$2222,0))=0,"",INDEX(SearchDB!$F$2:$F$2222,MATCH(122,SearchDB!$L$2:$L$2222,0))),"")</f>
        <v/>
      </c>
      <c r="I127" s="26" t="str">
        <f aca="false">IFERROR(IF(INDEX(SearchDB!$G$2:$G$2222,MATCH(122,SearchDB!$L$2:$L$2222,0))=0,"",INDEX(SearchDB!$G$2:$G$2222,MATCH(122,SearchDB!$L$2:$L$2222,0))),"")</f>
        <v/>
      </c>
      <c r="J127" s="26" t="str">
        <f aca="false">IFERROR(IF(INDEX(SearchDB!$H$2:$H$2222,MATCH(122,SearchDB!$L$2:$L$2222,0))=0,"",INDEX(SearchDB!$H$2:$H$2222,MATCH(122,SearchDB!$L$2:$L$2222,0))),"")</f>
        <v/>
      </c>
      <c r="K127" s="24"/>
    </row>
    <row r="128" customFormat="false" ht="19.5" hidden="false" customHeight="true" outlineLevel="0" collapsed="false">
      <c r="A128" s="2"/>
      <c r="B128" s="22" t="n">
        <v>123</v>
      </c>
      <c r="C128" s="23" t="str">
        <f aca="false">IFERROR(INDEX(SearchDB!$A$2:$A$2222,MATCH(123,SearchDB!$L$2:$L$2222,0)),"")</f>
        <v/>
      </c>
      <c r="D128" s="23" t="str">
        <f aca="false">IFERROR(INDEX(SearchDB!$B$2:$B$2222,MATCH(123,SearchDB!$L$2:$L$2222,0)),"")</f>
        <v/>
      </c>
      <c r="E128" s="22" t="str">
        <f aca="false">IFERROR(INDEX(SearchDB!$C$2:$C$2222,MATCH(123,SearchDB!$L$2:$L$2222,0)),"")</f>
        <v/>
      </c>
      <c r="F128" s="23" t="str">
        <f aca="false">IFERROR(IF(INDEX(SearchDB!$D$2:$D$2222,MATCH(123,SearchDB!$L$2:$L$2222,0))=0,"",INDEX(SearchDB!$D$2:$D$2222,MATCH(123,SearchDB!$L$2:$L$2222,0))),"")</f>
        <v/>
      </c>
      <c r="G128" s="23" t="str">
        <f aca="false">IFERROR(IF(INDEX(SearchDB!$E$2:$E$2222,MATCH(123,SearchDB!$L$2:$L$2222,0))=0,"",INDEX(SearchDB!$E$2:$E$2222,MATCH(123,SearchDB!$L$2:$L$2222,0))),"")</f>
        <v/>
      </c>
      <c r="H128" s="23" t="str">
        <f aca="false">IFERROR(IF(INDEX(SearchDB!$F$2:$F$2222,MATCH(123,SearchDB!$L$2:$L$2222,0))=0,"",INDEX(SearchDB!$F$2:$F$2222,MATCH(123,SearchDB!$L$2:$L$2222,0))),"")</f>
        <v/>
      </c>
      <c r="I128" s="23" t="str">
        <f aca="false">IFERROR(IF(INDEX(SearchDB!$G$2:$G$2222,MATCH(123,SearchDB!$L$2:$L$2222,0))=0,"",INDEX(SearchDB!$G$2:$G$2222,MATCH(123,SearchDB!$L$2:$L$2222,0))),"")</f>
        <v/>
      </c>
      <c r="J128" s="23" t="str">
        <f aca="false">IFERROR(IF(INDEX(SearchDB!$H$2:$H$2222,MATCH(123,SearchDB!$L$2:$L$2222,0))=0,"",INDEX(SearchDB!$H$2:$H$2222,MATCH(123,SearchDB!$L$2:$L$2222,0))),"")</f>
        <v/>
      </c>
      <c r="K128" s="24"/>
    </row>
    <row r="129" customFormat="false" ht="19.5" hidden="false" customHeight="true" outlineLevel="0" collapsed="false">
      <c r="A129" s="2"/>
      <c r="B129" s="25" t="n">
        <v>124</v>
      </c>
      <c r="C129" s="26" t="str">
        <f aca="false">IFERROR(INDEX(SearchDB!$A$2:$A$2222,MATCH(124,SearchDB!$L$2:$L$2222,0)),"")</f>
        <v/>
      </c>
      <c r="D129" s="26" t="str">
        <f aca="false">IFERROR(INDEX(SearchDB!$B$2:$B$2222,MATCH(124,SearchDB!$L$2:$L$2222,0)),"")</f>
        <v/>
      </c>
      <c r="E129" s="25" t="str">
        <f aca="false">IFERROR(INDEX(SearchDB!$C$2:$C$2222,MATCH(124,SearchDB!$L$2:$L$2222,0)),"")</f>
        <v/>
      </c>
      <c r="F129" s="26" t="str">
        <f aca="false">IFERROR(IF(INDEX(SearchDB!$D$2:$D$2222,MATCH(124,SearchDB!$L$2:$L$2222,0))=0,"",INDEX(SearchDB!$D$2:$D$2222,MATCH(124,SearchDB!$L$2:$L$2222,0))),"")</f>
        <v/>
      </c>
      <c r="G129" s="26" t="str">
        <f aca="false">IFERROR(IF(INDEX(SearchDB!$E$2:$E$2222,MATCH(124,SearchDB!$L$2:$L$2222,0))=0,"",INDEX(SearchDB!$E$2:$E$2222,MATCH(124,SearchDB!$L$2:$L$2222,0))),"")</f>
        <v/>
      </c>
      <c r="H129" s="26" t="str">
        <f aca="false">IFERROR(IF(INDEX(SearchDB!$F$2:$F$2222,MATCH(124,SearchDB!$L$2:$L$2222,0))=0,"",INDEX(SearchDB!$F$2:$F$2222,MATCH(124,SearchDB!$L$2:$L$2222,0))),"")</f>
        <v/>
      </c>
      <c r="I129" s="26" t="str">
        <f aca="false">IFERROR(IF(INDEX(SearchDB!$G$2:$G$2222,MATCH(124,SearchDB!$L$2:$L$2222,0))=0,"",INDEX(SearchDB!$G$2:$G$2222,MATCH(124,SearchDB!$L$2:$L$2222,0))),"")</f>
        <v/>
      </c>
      <c r="J129" s="26" t="str">
        <f aca="false">IFERROR(IF(INDEX(SearchDB!$H$2:$H$2222,MATCH(124,SearchDB!$L$2:$L$2222,0))=0,"",INDEX(SearchDB!$H$2:$H$2222,MATCH(124,SearchDB!$L$2:$L$2222,0))),"")</f>
        <v/>
      </c>
      <c r="K129" s="24"/>
    </row>
    <row r="130" customFormat="false" ht="19.5" hidden="false" customHeight="true" outlineLevel="0" collapsed="false">
      <c r="A130" s="2"/>
      <c r="B130" s="22" t="n">
        <v>125</v>
      </c>
      <c r="C130" s="23" t="str">
        <f aca="false">IFERROR(INDEX(SearchDB!$A$2:$A$2222,MATCH(125,SearchDB!$L$2:$L$2222,0)),"")</f>
        <v/>
      </c>
      <c r="D130" s="23" t="str">
        <f aca="false">IFERROR(INDEX(SearchDB!$B$2:$B$2222,MATCH(125,SearchDB!$L$2:$L$2222,0)),"")</f>
        <v/>
      </c>
      <c r="E130" s="22" t="str">
        <f aca="false">IFERROR(INDEX(SearchDB!$C$2:$C$2222,MATCH(125,SearchDB!$L$2:$L$2222,0)),"")</f>
        <v/>
      </c>
      <c r="F130" s="23" t="str">
        <f aca="false">IFERROR(IF(INDEX(SearchDB!$D$2:$D$2222,MATCH(125,SearchDB!$L$2:$L$2222,0))=0,"",INDEX(SearchDB!$D$2:$D$2222,MATCH(125,SearchDB!$L$2:$L$2222,0))),"")</f>
        <v/>
      </c>
      <c r="G130" s="23" t="str">
        <f aca="false">IFERROR(IF(INDEX(SearchDB!$E$2:$E$2222,MATCH(125,SearchDB!$L$2:$L$2222,0))=0,"",INDEX(SearchDB!$E$2:$E$2222,MATCH(125,SearchDB!$L$2:$L$2222,0))),"")</f>
        <v/>
      </c>
      <c r="H130" s="23" t="str">
        <f aca="false">IFERROR(IF(INDEX(SearchDB!$F$2:$F$2222,MATCH(125,SearchDB!$L$2:$L$2222,0))=0,"",INDEX(SearchDB!$F$2:$F$2222,MATCH(125,SearchDB!$L$2:$L$2222,0))),"")</f>
        <v/>
      </c>
      <c r="I130" s="23" t="str">
        <f aca="false">IFERROR(IF(INDEX(SearchDB!$G$2:$G$2222,MATCH(125,SearchDB!$L$2:$L$2222,0))=0,"",INDEX(SearchDB!$G$2:$G$2222,MATCH(125,SearchDB!$L$2:$L$2222,0))),"")</f>
        <v/>
      </c>
      <c r="J130" s="23" t="str">
        <f aca="false">IFERROR(IF(INDEX(SearchDB!$H$2:$H$2222,MATCH(125,SearchDB!$L$2:$L$2222,0))=0,"",INDEX(SearchDB!$H$2:$H$2222,MATCH(125,SearchDB!$L$2:$L$2222,0))),"")</f>
        <v/>
      </c>
      <c r="K130" s="24"/>
    </row>
    <row r="131" customFormat="false" ht="19.5" hidden="false" customHeight="true" outlineLevel="0" collapsed="false">
      <c r="A131" s="2"/>
      <c r="B131" s="25" t="n">
        <v>126</v>
      </c>
      <c r="C131" s="26" t="str">
        <f aca="false">IFERROR(INDEX(SearchDB!$A$2:$A$2222,MATCH(126,SearchDB!$L$2:$L$2222,0)),"")</f>
        <v/>
      </c>
      <c r="D131" s="26" t="str">
        <f aca="false">IFERROR(INDEX(SearchDB!$B$2:$B$2222,MATCH(126,SearchDB!$L$2:$L$2222,0)),"")</f>
        <v/>
      </c>
      <c r="E131" s="25" t="str">
        <f aca="false">IFERROR(INDEX(SearchDB!$C$2:$C$2222,MATCH(126,SearchDB!$L$2:$L$2222,0)),"")</f>
        <v/>
      </c>
      <c r="F131" s="26" t="str">
        <f aca="false">IFERROR(IF(INDEX(SearchDB!$D$2:$D$2222,MATCH(126,SearchDB!$L$2:$L$2222,0))=0,"",INDEX(SearchDB!$D$2:$D$2222,MATCH(126,SearchDB!$L$2:$L$2222,0))),"")</f>
        <v/>
      </c>
      <c r="G131" s="26" t="str">
        <f aca="false">IFERROR(IF(INDEX(SearchDB!$E$2:$E$2222,MATCH(126,SearchDB!$L$2:$L$2222,0))=0,"",INDEX(SearchDB!$E$2:$E$2222,MATCH(126,SearchDB!$L$2:$L$2222,0))),"")</f>
        <v/>
      </c>
      <c r="H131" s="26" t="str">
        <f aca="false">IFERROR(IF(INDEX(SearchDB!$F$2:$F$2222,MATCH(126,SearchDB!$L$2:$L$2222,0))=0,"",INDEX(SearchDB!$F$2:$F$2222,MATCH(126,SearchDB!$L$2:$L$2222,0))),"")</f>
        <v/>
      </c>
      <c r="I131" s="26" t="str">
        <f aca="false">IFERROR(IF(INDEX(SearchDB!$G$2:$G$2222,MATCH(126,SearchDB!$L$2:$L$2222,0))=0,"",INDEX(SearchDB!$G$2:$G$2222,MATCH(126,SearchDB!$L$2:$L$2222,0))),"")</f>
        <v/>
      </c>
      <c r="J131" s="26" t="str">
        <f aca="false">IFERROR(IF(INDEX(SearchDB!$H$2:$H$2222,MATCH(126,SearchDB!$L$2:$L$2222,0))=0,"",INDEX(SearchDB!$H$2:$H$2222,MATCH(126,SearchDB!$L$2:$L$2222,0))),"")</f>
        <v/>
      </c>
      <c r="K131" s="24"/>
    </row>
    <row r="132" customFormat="false" ht="19.5" hidden="false" customHeight="true" outlineLevel="0" collapsed="false">
      <c r="A132" s="2"/>
      <c r="B132" s="22" t="n">
        <v>127</v>
      </c>
      <c r="C132" s="23" t="str">
        <f aca="false">IFERROR(INDEX(SearchDB!$A$2:$A$2222,MATCH(127,SearchDB!$L$2:$L$2222,0)),"")</f>
        <v/>
      </c>
      <c r="D132" s="23" t="str">
        <f aca="false">IFERROR(INDEX(SearchDB!$B$2:$B$2222,MATCH(127,SearchDB!$L$2:$L$2222,0)),"")</f>
        <v/>
      </c>
      <c r="E132" s="22" t="str">
        <f aca="false">IFERROR(INDEX(SearchDB!$C$2:$C$2222,MATCH(127,SearchDB!$L$2:$L$2222,0)),"")</f>
        <v/>
      </c>
      <c r="F132" s="23" t="str">
        <f aca="false">IFERROR(IF(INDEX(SearchDB!$D$2:$D$2222,MATCH(127,SearchDB!$L$2:$L$2222,0))=0,"",INDEX(SearchDB!$D$2:$D$2222,MATCH(127,SearchDB!$L$2:$L$2222,0))),"")</f>
        <v/>
      </c>
      <c r="G132" s="23" t="str">
        <f aca="false">IFERROR(IF(INDEX(SearchDB!$E$2:$E$2222,MATCH(127,SearchDB!$L$2:$L$2222,0))=0,"",INDEX(SearchDB!$E$2:$E$2222,MATCH(127,SearchDB!$L$2:$L$2222,0))),"")</f>
        <v/>
      </c>
      <c r="H132" s="23" t="str">
        <f aca="false">IFERROR(IF(INDEX(SearchDB!$F$2:$F$2222,MATCH(127,SearchDB!$L$2:$L$2222,0))=0,"",INDEX(SearchDB!$F$2:$F$2222,MATCH(127,SearchDB!$L$2:$L$2222,0))),"")</f>
        <v/>
      </c>
      <c r="I132" s="23" t="str">
        <f aca="false">IFERROR(IF(INDEX(SearchDB!$G$2:$G$2222,MATCH(127,SearchDB!$L$2:$L$2222,0))=0,"",INDEX(SearchDB!$G$2:$G$2222,MATCH(127,SearchDB!$L$2:$L$2222,0))),"")</f>
        <v/>
      </c>
      <c r="J132" s="23" t="str">
        <f aca="false">IFERROR(IF(INDEX(SearchDB!$H$2:$H$2222,MATCH(127,SearchDB!$L$2:$L$2222,0))=0,"",INDEX(SearchDB!$H$2:$H$2222,MATCH(127,SearchDB!$L$2:$L$2222,0))),"")</f>
        <v/>
      </c>
      <c r="K132" s="24"/>
    </row>
    <row r="133" customFormat="false" ht="19.5" hidden="false" customHeight="true" outlineLevel="0" collapsed="false">
      <c r="A133" s="2"/>
      <c r="B133" s="25" t="n">
        <v>128</v>
      </c>
      <c r="C133" s="26" t="str">
        <f aca="false">IFERROR(INDEX(SearchDB!$A$2:$A$2222,MATCH(128,SearchDB!$L$2:$L$2222,0)),"")</f>
        <v/>
      </c>
      <c r="D133" s="26" t="str">
        <f aca="false">IFERROR(INDEX(SearchDB!$B$2:$B$2222,MATCH(128,SearchDB!$L$2:$L$2222,0)),"")</f>
        <v/>
      </c>
      <c r="E133" s="25" t="str">
        <f aca="false">IFERROR(INDEX(SearchDB!$C$2:$C$2222,MATCH(128,SearchDB!$L$2:$L$2222,0)),"")</f>
        <v/>
      </c>
      <c r="F133" s="26" t="str">
        <f aca="false">IFERROR(IF(INDEX(SearchDB!$D$2:$D$2222,MATCH(128,SearchDB!$L$2:$L$2222,0))=0,"",INDEX(SearchDB!$D$2:$D$2222,MATCH(128,SearchDB!$L$2:$L$2222,0))),"")</f>
        <v/>
      </c>
      <c r="G133" s="26" t="str">
        <f aca="false">IFERROR(IF(INDEX(SearchDB!$E$2:$E$2222,MATCH(128,SearchDB!$L$2:$L$2222,0))=0,"",INDEX(SearchDB!$E$2:$E$2222,MATCH(128,SearchDB!$L$2:$L$2222,0))),"")</f>
        <v/>
      </c>
      <c r="H133" s="26" t="str">
        <f aca="false">IFERROR(IF(INDEX(SearchDB!$F$2:$F$2222,MATCH(128,SearchDB!$L$2:$L$2222,0))=0,"",INDEX(SearchDB!$F$2:$F$2222,MATCH(128,SearchDB!$L$2:$L$2222,0))),"")</f>
        <v/>
      </c>
      <c r="I133" s="26" t="str">
        <f aca="false">IFERROR(IF(INDEX(SearchDB!$G$2:$G$2222,MATCH(128,SearchDB!$L$2:$L$2222,0))=0,"",INDEX(SearchDB!$G$2:$G$2222,MATCH(128,SearchDB!$L$2:$L$2222,0))),"")</f>
        <v/>
      </c>
      <c r="J133" s="26" t="str">
        <f aca="false">IFERROR(IF(INDEX(SearchDB!$H$2:$H$2222,MATCH(128,SearchDB!$L$2:$L$2222,0))=0,"",INDEX(SearchDB!$H$2:$H$2222,MATCH(128,SearchDB!$L$2:$L$2222,0))),"")</f>
        <v/>
      </c>
      <c r="K133" s="24"/>
    </row>
    <row r="134" customFormat="false" ht="19.5" hidden="false" customHeight="true" outlineLevel="0" collapsed="false">
      <c r="A134" s="2"/>
      <c r="B134" s="22" t="n">
        <v>129</v>
      </c>
      <c r="C134" s="23" t="str">
        <f aca="false">IFERROR(INDEX(SearchDB!$A$2:$A$2222,MATCH(129,SearchDB!$L$2:$L$2222,0)),"")</f>
        <v/>
      </c>
      <c r="D134" s="23" t="str">
        <f aca="false">IFERROR(INDEX(SearchDB!$B$2:$B$2222,MATCH(129,SearchDB!$L$2:$L$2222,0)),"")</f>
        <v/>
      </c>
      <c r="E134" s="22" t="str">
        <f aca="false">IFERROR(INDEX(SearchDB!$C$2:$C$2222,MATCH(129,SearchDB!$L$2:$L$2222,0)),"")</f>
        <v/>
      </c>
      <c r="F134" s="23" t="str">
        <f aca="false">IFERROR(IF(INDEX(SearchDB!$D$2:$D$2222,MATCH(129,SearchDB!$L$2:$L$2222,0))=0,"",INDEX(SearchDB!$D$2:$D$2222,MATCH(129,SearchDB!$L$2:$L$2222,0))),"")</f>
        <v/>
      </c>
      <c r="G134" s="23" t="str">
        <f aca="false">IFERROR(IF(INDEX(SearchDB!$E$2:$E$2222,MATCH(129,SearchDB!$L$2:$L$2222,0))=0,"",INDEX(SearchDB!$E$2:$E$2222,MATCH(129,SearchDB!$L$2:$L$2222,0))),"")</f>
        <v/>
      </c>
      <c r="H134" s="23" t="str">
        <f aca="false">IFERROR(IF(INDEX(SearchDB!$F$2:$F$2222,MATCH(129,SearchDB!$L$2:$L$2222,0))=0,"",INDEX(SearchDB!$F$2:$F$2222,MATCH(129,SearchDB!$L$2:$L$2222,0))),"")</f>
        <v/>
      </c>
      <c r="I134" s="23" t="str">
        <f aca="false">IFERROR(IF(INDEX(SearchDB!$G$2:$G$2222,MATCH(129,SearchDB!$L$2:$L$2222,0))=0,"",INDEX(SearchDB!$G$2:$G$2222,MATCH(129,SearchDB!$L$2:$L$2222,0))),"")</f>
        <v/>
      </c>
      <c r="J134" s="23" t="str">
        <f aca="false">IFERROR(IF(INDEX(SearchDB!$H$2:$H$2222,MATCH(129,SearchDB!$L$2:$L$2222,0))=0,"",INDEX(SearchDB!$H$2:$H$2222,MATCH(129,SearchDB!$L$2:$L$2222,0))),"")</f>
        <v/>
      </c>
      <c r="K134" s="24"/>
    </row>
    <row r="135" customFormat="false" ht="19.5" hidden="false" customHeight="true" outlineLevel="0" collapsed="false">
      <c r="A135" s="2"/>
      <c r="B135" s="25" t="n">
        <v>130</v>
      </c>
      <c r="C135" s="26" t="str">
        <f aca="false">IFERROR(INDEX(SearchDB!$A$2:$A$2222,MATCH(130,SearchDB!$L$2:$L$2222,0)),"")</f>
        <v/>
      </c>
      <c r="D135" s="26" t="str">
        <f aca="false">IFERROR(INDEX(SearchDB!$B$2:$B$2222,MATCH(130,SearchDB!$L$2:$L$2222,0)),"")</f>
        <v/>
      </c>
      <c r="E135" s="25" t="str">
        <f aca="false">IFERROR(INDEX(SearchDB!$C$2:$C$2222,MATCH(130,SearchDB!$L$2:$L$2222,0)),"")</f>
        <v/>
      </c>
      <c r="F135" s="26" t="str">
        <f aca="false">IFERROR(IF(INDEX(SearchDB!$D$2:$D$2222,MATCH(130,SearchDB!$L$2:$L$2222,0))=0,"",INDEX(SearchDB!$D$2:$D$2222,MATCH(130,SearchDB!$L$2:$L$2222,0))),"")</f>
        <v/>
      </c>
      <c r="G135" s="26" t="str">
        <f aca="false">IFERROR(IF(INDEX(SearchDB!$E$2:$E$2222,MATCH(130,SearchDB!$L$2:$L$2222,0))=0,"",INDEX(SearchDB!$E$2:$E$2222,MATCH(130,SearchDB!$L$2:$L$2222,0))),"")</f>
        <v/>
      </c>
      <c r="H135" s="26" t="str">
        <f aca="false">IFERROR(IF(INDEX(SearchDB!$F$2:$F$2222,MATCH(130,SearchDB!$L$2:$L$2222,0))=0,"",INDEX(SearchDB!$F$2:$F$2222,MATCH(130,SearchDB!$L$2:$L$2222,0))),"")</f>
        <v/>
      </c>
      <c r="I135" s="26" t="str">
        <f aca="false">IFERROR(IF(INDEX(SearchDB!$G$2:$G$2222,MATCH(130,SearchDB!$L$2:$L$2222,0))=0,"",INDEX(SearchDB!$G$2:$G$2222,MATCH(130,SearchDB!$L$2:$L$2222,0))),"")</f>
        <v/>
      </c>
      <c r="J135" s="26" t="str">
        <f aca="false">IFERROR(IF(INDEX(SearchDB!$H$2:$H$2222,MATCH(130,SearchDB!$L$2:$L$2222,0))=0,"",INDEX(SearchDB!$H$2:$H$2222,MATCH(130,SearchDB!$L$2:$L$2222,0))),"")</f>
        <v/>
      </c>
      <c r="K135" s="24"/>
    </row>
    <row r="136" customFormat="false" ht="19.5" hidden="false" customHeight="true" outlineLevel="0" collapsed="false">
      <c r="A136" s="2"/>
      <c r="B136" s="22" t="n">
        <v>131</v>
      </c>
      <c r="C136" s="23" t="str">
        <f aca="false">IFERROR(INDEX(SearchDB!$A$2:$A$2222,MATCH(131,SearchDB!$L$2:$L$2222,0)),"")</f>
        <v/>
      </c>
      <c r="D136" s="23" t="str">
        <f aca="false">IFERROR(INDEX(SearchDB!$B$2:$B$2222,MATCH(131,SearchDB!$L$2:$L$2222,0)),"")</f>
        <v/>
      </c>
      <c r="E136" s="22" t="str">
        <f aca="false">IFERROR(INDEX(SearchDB!$C$2:$C$2222,MATCH(131,SearchDB!$L$2:$L$2222,0)),"")</f>
        <v/>
      </c>
      <c r="F136" s="23" t="str">
        <f aca="false">IFERROR(IF(INDEX(SearchDB!$D$2:$D$2222,MATCH(131,SearchDB!$L$2:$L$2222,0))=0,"",INDEX(SearchDB!$D$2:$D$2222,MATCH(131,SearchDB!$L$2:$L$2222,0))),"")</f>
        <v/>
      </c>
      <c r="G136" s="23" t="str">
        <f aca="false">IFERROR(IF(INDEX(SearchDB!$E$2:$E$2222,MATCH(131,SearchDB!$L$2:$L$2222,0))=0,"",INDEX(SearchDB!$E$2:$E$2222,MATCH(131,SearchDB!$L$2:$L$2222,0))),"")</f>
        <v/>
      </c>
      <c r="H136" s="23" t="str">
        <f aca="false">IFERROR(IF(INDEX(SearchDB!$F$2:$F$2222,MATCH(131,SearchDB!$L$2:$L$2222,0))=0,"",INDEX(SearchDB!$F$2:$F$2222,MATCH(131,SearchDB!$L$2:$L$2222,0))),"")</f>
        <v/>
      </c>
      <c r="I136" s="23" t="str">
        <f aca="false">IFERROR(IF(INDEX(SearchDB!$G$2:$G$2222,MATCH(131,SearchDB!$L$2:$L$2222,0))=0,"",INDEX(SearchDB!$G$2:$G$2222,MATCH(131,SearchDB!$L$2:$L$2222,0))),"")</f>
        <v/>
      </c>
      <c r="J136" s="23" t="str">
        <f aca="false">IFERROR(IF(INDEX(SearchDB!$H$2:$H$2222,MATCH(131,SearchDB!$L$2:$L$2222,0))=0,"",INDEX(SearchDB!$H$2:$H$2222,MATCH(131,SearchDB!$L$2:$L$2222,0))),"")</f>
        <v/>
      </c>
      <c r="K136" s="24"/>
    </row>
    <row r="137" customFormat="false" ht="19.5" hidden="false" customHeight="true" outlineLevel="0" collapsed="false">
      <c r="A137" s="2"/>
      <c r="B137" s="25" t="n">
        <v>132</v>
      </c>
      <c r="C137" s="26" t="str">
        <f aca="false">IFERROR(INDEX(SearchDB!$A$2:$A$2222,MATCH(132,SearchDB!$L$2:$L$2222,0)),"")</f>
        <v/>
      </c>
      <c r="D137" s="26" t="str">
        <f aca="false">IFERROR(INDEX(SearchDB!$B$2:$B$2222,MATCH(132,SearchDB!$L$2:$L$2222,0)),"")</f>
        <v/>
      </c>
      <c r="E137" s="25" t="str">
        <f aca="false">IFERROR(INDEX(SearchDB!$C$2:$C$2222,MATCH(132,SearchDB!$L$2:$L$2222,0)),"")</f>
        <v/>
      </c>
      <c r="F137" s="26" t="str">
        <f aca="false">IFERROR(IF(INDEX(SearchDB!$D$2:$D$2222,MATCH(132,SearchDB!$L$2:$L$2222,0))=0,"",INDEX(SearchDB!$D$2:$D$2222,MATCH(132,SearchDB!$L$2:$L$2222,0))),"")</f>
        <v/>
      </c>
      <c r="G137" s="26" t="str">
        <f aca="false">IFERROR(IF(INDEX(SearchDB!$E$2:$E$2222,MATCH(132,SearchDB!$L$2:$L$2222,0))=0,"",INDEX(SearchDB!$E$2:$E$2222,MATCH(132,SearchDB!$L$2:$L$2222,0))),"")</f>
        <v/>
      </c>
      <c r="H137" s="26" t="str">
        <f aca="false">IFERROR(IF(INDEX(SearchDB!$F$2:$F$2222,MATCH(132,SearchDB!$L$2:$L$2222,0))=0,"",INDEX(SearchDB!$F$2:$F$2222,MATCH(132,SearchDB!$L$2:$L$2222,0))),"")</f>
        <v/>
      </c>
      <c r="I137" s="26" t="str">
        <f aca="false">IFERROR(IF(INDEX(SearchDB!$G$2:$G$2222,MATCH(132,SearchDB!$L$2:$L$2222,0))=0,"",INDEX(SearchDB!$G$2:$G$2222,MATCH(132,SearchDB!$L$2:$L$2222,0))),"")</f>
        <v/>
      </c>
      <c r="J137" s="26" t="str">
        <f aca="false">IFERROR(IF(INDEX(SearchDB!$H$2:$H$2222,MATCH(132,SearchDB!$L$2:$L$2222,0))=0,"",INDEX(SearchDB!$H$2:$H$2222,MATCH(132,SearchDB!$L$2:$L$2222,0))),"")</f>
        <v/>
      </c>
      <c r="K137" s="24"/>
    </row>
    <row r="138" customFormat="false" ht="19.5" hidden="false" customHeight="true" outlineLevel="0" collapsed="false">
      <c r="A138" s="2"/>
      <c r="B138" s="22" t="n">
        <v>133</v>
      </c>
      <c r="C138" s="23" t="str">
        <f aca="false">IFERROR(INDEX(SearchDB!$A$2:$A$2222,MATCH(133,SearchDB!$L$2:$L$2222,0)),"")</f>
        <v/>
      </c>
      <c r="D138" s="23" t="str">
        <f aca="false">IFERROR(INDEX(SearchDB!$B$2:$B$2222,MATCH(133,SearchDB!$L$2:$L$2222,0)),"")</f>
        <v/>
      </c>
      <c r="E138" s="22" t="str">
        <f aca="false">IFERROR(INDEX(SearchDB!$C$2:$C$2222,MATCH(133,SearchDB!$L$2:$L$2222,0)),"")</f>
        <v/>
      </c>
      <c r="F138" s="23" t="str">
        <f aca="false">IFERROR(IF(INDEX(SearchDB!$D$2:$D$2222,MATCH(133,SearchDB!$L$2:$L$2222,0))=0,"",INDEX(SearchDB!$D$2:$D$2222,MATCH(133,SearchDB!$L$2:$L$2222,0))),"")</f>
        <v/>
      </c>
      <c r="G138" s="23" t="str">
        <f aca="false">IFERROR(IF(INDEX(SearchDB!$E$2:$E$2222,MATCH(133,SearchDB!$L$2:$L$2222,0))=0,"",INDEX(SearchDB!$E$2:$E$2222,MATCH(133,SearchDB!$L$2:$L$2222,0))),"")</f>
        <v/>
      </c>
      <c r="H138" s="23" t="str">
        <f aca="false">IFERROR(IF(INDEX(SearchDB!$F$2:$F$2222,MATCH(133,SearchDB!$L$2:$L$2222,0))=0,"",INDEX(SearchDB!$F$2:$F$2222,MATCH(133,SearchDB!$L$2:$L$2222,0))),"")</f>
        <v/>
      </c>
      <c r="I138" s="23" t="str">
        <f aca="false">IFERROR(IF(INDEX(SearchDB!$G$2:$G$2222,MATCH(133,SearchDB!$L$2:$L$2222,0))=0,"",INDEX(SearchDB!$G$2:$G$2222,MATCH(133,SearchDB!$L$2:$L$2222,0))),"")</f>
        <v/>
      </c>
      <c r="J138" s="23" t="str">
        <f aca="false">IFERROR(IF(INDEX(SearchDB!$H$2:$H$2222,MATCH(133,SearchDB!$L$2:$L$2222,0))=0,"",INDEX(SearchDB!$H$2:$H$2222,MATCH(133,SearchDB!$L$2:$L$2222,0))),"")</f>
        <v/>
      </c>
      <c r="K138" s="24"/>
    </row>
    <row r="139" customFormat="false" ht="19.5" hidden="false" customHeight="true" outlineLevel="0" collapsed="false">
      <c r="A139" s="2"/>
      <c r="B139" s="25" t="n">
        <v>134</v>
      </c>
      <c r="C139" s="26" t="str">
        <f aca="false">IFERROR(INDEX(SearchDB!$A$2:$A$2222,MATCH(134,SearchDB!$L$2:$L$2222,0)),"")</f>
        <v/>
      </c>
      <c r="D139" s="26" t="str">
        <f aca="false">IFERROR(INDEX(SearchDB!$B$2:$B$2222,MATCH(134,SearchDB!$L$2:$L$2222,0)),"")</f>
        <v/>
      </c>
      <c r="E139" s="25" t="str">
        <f aca="false">IFERROR(INDEX(SearchDB!$C$2:$C$2222,MATCH(134,SearchDB!$L$2:$L$2222,0)),"")</f>
        <v/>
      </c>
      <c r="F139" s="26" t="str">
        <f aca="false">IFERROR(IF(INDEX(SearchDB!$D$2:$D$2222,MATCH(134,SearchDB!$L$2:$L$2222,0))=0,"",INDEX(SearchDB!$D$2:$D$2222,MATCH(134,SearchDB!$L$2:$L$2222,0))),"")</f>
        <v/>
      </c>
      <c r="G139" s="26" t="str">
        <f aca="false">IFERROR(IF(INDEX(SearchDB!$E$2:$E$2222,MATCH(134,SearchDB!$L$2:$L$2222,0))=0,"",INDEX(SearchDB!$E$2:$E$2222,MATCH(134,SearchDB!$L$2:$L$2222,0))),"")</f>
        <v/>
      </c>
      <c r="H139" s="26" t="str">
        <f aca="false">IFERROR(IF(INDEX(SearchDB!$F$2:$F$2222,MATCH(134,SearchDB!$L$2:$L$2222,0))=0,"",INDEX(SearchDB!$F$2:$F$2222,MATCH(134,SearchDB!$L$2:$L$2222,0))),"")</f>
        <v/>
      </c>
      <c r="I139" s="26" t="str">
        <f aca="false">IFERROR(IF(INDEX(SearchDB!$G$2:$G$2222,MATCH(134,SearchDB!$L$2:$L$2222,0))=0,"",INDEX(SearchDB!$G$2:$G$2222,MATCH(134,SearchDB!$L$2:$L$2222,0))),"")</f>
        <v/>
      </c>
      <c r="J139" s="26" t="str">
        <f aca="false">IFERROR(IF(INDEX(SearchDB!$H$2:$H$2222,MATCH(134,SearchDB!$L$2:$L$2222,0))=0,"",INDEX(SearchDB!$H$2:$H$2222,MATCH(134,SearchDB!$L$2:$L$2222,0))),"")</f>
        <v/>
      </c>
      <c r="K139" s="24"/>
    </row>
    <row r="140" customFormat="false" ht="19.5" hidden="false" customHeight="true" outlineLevel="0" collapsed="false">
      <c r="A140" s="2"/>
      <c r="B140" s="22" t="n">
        <v>135</v>
      </c>
      <c r="C140" s="23" t="str">
        <f aca="false">IFERROR(INDEX(SearchDB!$A$2:$A$2222,MATCH(135,SearchDB!$L$2:$L$2222,0)),"")</f>
        <v/>
      </c>
      <c r="D140" s="23" t="str">
        <f aca="false">IFERROR(INDEX(SearchDB!$B$2:$B$2222,MATCH(135,SearchDB!$L$2:$L$2222,0)),"")</f>
        <v/>
      </c>
      <c r="E140" s="22" t="str">
        <f aca="false">IFERROR(INDEX(SearchDB!$C$2:$C$2222,MATCH(135,SearchDB!$L$2:$L$2222,0)),"")</f>
        <v/>
      </c>
      <c r="F140" s="23" t="str">
        <f aca="false">IFERROR(IF(INDEX(SearchDB!$D$2:$D$2222,MATCH(135,SearchDB!$L$2:$L$2222,0))=0,"",INDEX(SearchDB!$D$2:$D$2222,MATCH(135,SearchDB!$L$2:$L$2222,0))),"")</f>
        <v/>
      </c>
      <c r="G140" s="23" t="str">
        <f aca="false">IFERROR(IF(INDEX(SearchDB!$E$2:$E$2222,MATCH(135,SearchDB!$L$2:$L$2222,0))=0,"",INDEX(SearchDB!$E$2:$E$2222,MATCH(135,SearchDB!$L$2:$L$2222,0))),"")</f>
        <v/>
      </c>
      <c r="H140" s="23" t="str">
        <f aca="false">IFERROR(IF(INDEX(SearchDB!$F$2:$F$2222,MATCH(135,SearchDB!$L$2:$L$2222,0))=0,"",INDEX(SearchDB!$F$2:$F$2222,MATCH(135,SearchDB!$L$2:$L$2222,0))),"")</f>
        <v/>
      </c>
      <c r="I140" s="23" t="str">
        <f aca="false">IFERROR(IF(INDEX(SearchDB!$G$2:$G$2222,MATCH(135,SearchDB!$L$2:$L$2222,0))=0,"",INDEX(SearchDB!$G$2:$G$2222,MATCH(135,SearchDB!$L$2:$L$2222,0))),"")</f>
        <v/>
      </c>
      <c r="J140" s="23" t="str">
        <f aca="false">IFERROR(IF(INDEX(SearchDB!$H$2:$H$2222,MATCH(135,SearchDB!$L$2:$L$2222,0))=0,"",INDEX(SearchDB!$H$2:$H$2222,MATCH(135,SearchDB!$L$2:$L$2222,0))),"")</f>
        <v/>
      </c>
      <c r="K140" s="24"/>
    </row>
    <row r="141" customFormat="false" ht="19.5" hidden="false" customHeight="true" outlineLevel="0" collapsed="false">
      <c r="A141" s="2"/>
      <c r="B141" s="25" t="n">
        <v>136</v>
      </c>
      <c r="C141" s="26" t="str">
        <f aca="false">IFERROR(INDEX(SearchDB!$A$2:$A$2222,MATCH(136,SearchDB!$L$2:$L$2222,0)),"")</f>
        <v/>
      </c>
      <c r="D141" s="26" t="str">
        <f aca="false">IFERROR(INDEX(SearchDB!$B$2:$B$2222,MATCH(136,SearchDB!$L$2:$L$2222,0)),"")</f>
        <v/>
      </c>
      <c r="E141" s="25" t="str">
        <f aca="false">IFERROR(INDEX(SearchDB!$C$2:$C$2222,MATCH(136,SearchDB!$L$2:$L$2222,0)),"")</f>
        <v/>
      </c>
      <c r="F141" s="26" t="str">
        <f aca="false">IFERROR(IF(INDEX(SearchDB!$D$2:$D$2222,MATCH(136,SearchDB!$L$2:$L$2222,0))=0,"",INDEX(SearchDB!$D$2:$D$2222,MATCH(136,SearchDB!$L$2:$L$2222,0))),"")</f>
        <v/>
      </c>
      <c r="G141" s="26" t="str">
        <f aca="false">IFERROR(IF(INDEX(SearchDB!$E$2:$E$2222,MATCH(136,SearchDB!$L$2:$L$2222,0))=0,"",INDEX(SearchDB!$E$2:$E$2222,MATCH(136,SearchDB!$L$2:$L$2222,0))),"")</f>
        <v/>
      </c>
      <c r="H141" s="26" t="str">
        <f aca="false">IFERROR(IF(INDEX(SearchDB!$F$2:$F$2222,MATCH(136,SearchDB!$L$2:$L$2222,0))=0,"",INDEX(SearchDB!$F$2:$F$2222,MATCH(136,SearchDB!$L$2:$L$2222,0))),"")</f>
        <v/>
      </c>
      <c r="I141" s="26" t="str">
        <f aca="false">IFERROR(IF(INDEX(SearchDB!$G$2:$G$2222,MATCH(136,SearchDB!$L$2:$L$2222,0))=0,"",INDEX(SearchDB!$G$2:$G$2222,MATCH(136,SearchDB!$L$2:$L$2222,0))),"")</f>
        <v/>
      </c>
      <c r="J141" s="26" t="str">
        <f aca="false">IFERROR(IF(INDEX(SearchDB!$H$2:$H$2222,MATCH(136,SearchDB!$L$2:$L$2222,0))=0,"",INDEX(SearchDB!$H$2:$H$2222,MATCH(136,SearchDB!$L$2:$L$2222,0))),"")</f>
        <v/>
      </c>
      <c r="K141" s="24"/>
    </row>
    <row r="142" customFormat="false" ht="19.5" hidden="false" customHeight="true" outlineLevel="0" collapsed="false">
      <c r="A142" s="2"/>
      <c r="B142" s="22" t="n">
        <v>137</v>
      </c>
      <c r="C142" s="23" t="str">
        <f aca="false">IFERROR(INDEX(SearchDB!$A$2:$A$2222,MATCH(137,SearchDB!$L$2:$L$2222,0)),"")</f>
        <v/>
      </c>
      <c r="D142" s="23" t="str">
        <f aca="false">IFERROR(INDEX(SearchDB!$B$2:$B$2222,MATCH(137,SearchDB!$L$2:$L$2222,0)),"")</f>
        <v/>
      </c>
      <c r="E142" s="22" t="str">
        <f aca="false">IFERROR(INDEX(SearchDB!$C$2:$C$2222,MATCH(137,SearchDB!$L$2:$L$2222,0)),"")</f>
        <v/>
      </c>
      <c r="F142" s="23" t="str">
        <f aca="false">IFERROR(IF(INDEX(SearchDB!$D$2:$D$2222,MATCH(137,SearchDB!$L$2:$L$2222,0))=0,"",INDEX(SearchDB!$D$2:$D$2222,MATCH(137,SearchDB!$L$2:$L$2222,0))),"")</f>
        <v/>
      </c>
      <c r="G142" s="23" t="str">
        <f aca="false">IFERROR(IF(INDEX(SearchDB!$E$2:$E$2222,MATCH(137,SearchDB!$L$2:$L$2222,0))=0,"",INDEX(SearchDB!$E$2:$E$2222,MATCH(137,SearchDB!$L$2:$L$2222,0))),"")</f>
        <v/>
      </c>
      <c r="H142" s="23" t="str">
        <f aca="false">IFERROR(IF(INDEX(SearchDB!$F$2:$F$2222,MATCH(137,SearchDB!$L$2:$L$2222,0))=0,"",INDEX(SearchDB!$F$2:$F$2222,MATCH(137,SearchDB!$L$2:$L$2222,0))),"")</f>
        <v/>
      </c>
      <c r="I142" s="23" t="str">
        <f aca="false">IFERROR(IF(INDEX(SearchDB!$G$2:$G$2222,MATCH(137,SearchDB!$L$2:$L$2222,0))=0,"",INDEX(SearchDB!$G$2:$G$2222,MATCH(137,SearchDB!$L$2:$L$2222,0))),"")</f>
        <v/>
      </c>
      <c r="J142" s="23" t="str">
        <f aca="false">IFERROR(IF(INDEX(SearchDB!$H$2:$H$2222,MATCH(137,SearchDB!$L$2:$L$2222,0))=0,"",INDEX(SearchDB!$H$2:$H$2222,MATCH(137,SearchDB!$L$2:$L$2222,0))),"")</f>
        <v/>
      </c>
      <c r="K142" s="24"/>
    </row>
    <row r="143" customFormat="false" ht="19.5" hidden="false" customHeight="true" outlineLevel="0" collapsed="false">
      <c r="A143" s="2"/>
      <c r="B143" s="25" t="n">
        <v>138</v>
      </c>
      <c r="C143" s="26" t="str">
        <f aca="false">IFERROR(INDEX(SearchDB!$A$2:$A$2222,MATCH(138,SearchDB!$L$2:$L$2222,0)),"")</f>
        <v/>
      </c>
      <c r="D143" s="26" t="str">
        <f aca="false">IFERROR(INDEX(SearchDB!$B$2:$B$2222,MATCH(138,SearchDB!$L$2:$L$2222,0)),"")</f>
        <v/>
      </c>
      <c r="E143" s="25" t="str">
        <f aca="false">IFERROR(INDEX(SearchDB!$C$2:$C$2222,MATCH(138,SearchDB!$L$2:$L$2222,0)),"")</f>
        <v/>
      </c>
      <c r="F143" s="26" t="str">
        <f aca="false">IFERROR(IF(INDEX(SearchDB!$D$2:$D$2222,MATCH(138,SearchDB!$L$2:$L$2222,0))=0,"",INDEX(SearchDB!$D$2:$D$2222,MATCH(138,SearchDB!$L$2:$L$2222,0))),"")</f>
        <v/>
      </c>
      <c r="G143" s="26" t="str">
        <f aca="false">IFERROR(IF(INDEX(SearchDB!$E$2:$E$2222,MATCH(138,SearchDB!$L$2:$L$2222,0))=0,"",INDEX(SearchDB!$E$2:$E$2222,MATCH(138,SearchDB!$L$2:$L$2222,0))),"")</f>
        <v/>
      </c>
      <c r="H143" s="26" t="str">
        <f aca="false">IFERROR(IF(INDEX(SearchDB!$F$2:$F$2222,MATCH(138,SearchDB!$L$2:$L$2222,0))=0,"",INDEX(SearchDB!$F$2:$F$2222,MATCH(138,SearchDB!$L$2:$L$2222,0))),"")</f>
        <v/>
      </c>
      <c r="I143" s="26" t="str">
        <f aca="false">IFERROR(IF(INDEX(SearchDB!$G$2:$G$2222,MATCH(138,SearchDB!$L$2:$L$2222,0))=0,"",INDEX(SearchDB!$G$2:$G$2222,MATCH(138,SearchDB!$L$2:$L$2222,0))),"")</f>
        <v/>
      </c>
      <c r="J143" s="26" t="str">
        <f aca="false">IFERROR(IF(INDEX(SearchDB!$H$2:$H$2222,MATCH(138,SearchDB!$L$2:$L$2222,0))=0,"",INDEX(SearchDB!$H$2:$H$2222,MATCH(138,SearchDB!$L$2:$L$2222,0))),"")</f>
        <v/>
      </c>
      <c r="K143" s="24"/>
    </row>
    <row r="144" customFormat="false" ht="19.5" hidden="false" customHeight="true" outlineLevel="0" collapsed="false">
      <c r="A144" s="2"/>
      <c r="B144" s="22" t="n">
        <v>139</v>
      </c>
      <c r="C144" s="23" t="str">
        <f aca="false">IFERROR(INDEX(SearchDB!$A$2:$A$2222,MATCH(139,SearchDB!$L$2:$L$2222,0)),"")</f>
        <v/>
      </c>
      <c r="D144" s="23" t="str">
        <f aca="false">IFERROR(INDEX(SearchDB!$B$2:$B$2222,MATCH(139,SearchDB!$L$2:$L$2222,0)),"")</f>
        <v/>
      </c>
      <c r="E144" s="22" t="str">
        <f aca="false">IFERROR(INDEX(SearchDB!$C$2:$C$2222,MATCH(139,SearchDB!$L$2:$L$2222,0)),"")</f>
        <v/>
      </c>
      <c r="F144" s="23" t="str">
        <f aca="false">IFERROR(IF(INDEX(SearchDB!$D$2:$D$2222,MATCH(139,SearchDB!$L$2:$L$2222,0))=0,"",INDEX(SearchDB!$D$2:$D$2222,MATCH(139,SearchDB!$L$2:$L$2222,0))),"")</f>
        <v/>
      </c>
      <c r="G144" s="23" t="str">
        <f aca="false">IFERROR(IF(INDEX(SearchDB!$E$2:$E$2222,MATCH(139,SearchDB!$L$2:$L$2222,0))=0,"",INDEX(SearchDB!$E$2:$E$2222,MATCH(139,SearchDB!$L$2:$L$2222,0))),"")</f>
        <v/>
      </c>
      <c r="H144" s="23" t="str">
        <f aca="false">IFERROR(IF(INDEX(SearchDB!$F$2:$F$2222,MATCH(139,SearchDB!$L$2:$L$2222,0))=0,"",INDEX(SearchDB!$F$2:$F$2222,MATCH(139,SearchDB!$L$2:$L$2222,0))),"")</f>
        <v/>
      </c>
      <c r="I144" s="23" t="str">
        <f aca="false">IFERROR(IF(INDEX(SearchDB!$G$2:$G$2222,MATCH(139,SearchDB!$L$2:$L$2222,0))=0,"",INDEX(SearchDB!$G$2:$G$2222,MATCH(139,SearchDB!$L$2:$L$2222,0))),"")</f>
        <v/>
      </c>
      <c r="J144" s="23" t="str">
        <f aca="false">IFERROR(IF(INDEX(SearchDB!$H$2:$H$2222,MATCH(139,SearchDB!$L$2:$L$2222,0))=0,"",INDEX(SearchDB!$H$2:$H$2222,MATCH(139,SearchDB!$L$2:$L$2222,0))),"")</f>
        <v/>
      </c>
      <c r="K144" s="24"/>
    </row>
    <row r="145" customFormat="false" ht="19.5" hidden="false" customHeight="true" outlineLevel="0" collapsed="false">
      <c r="A145" s="2"/>
      <c r="B145" s="25" t="n">
        <v>140</v>
      </c>
      <c r="C145" s="26" t="str">
        <f aca="false">IFERROR(INDEX(SearchDB!$A$2:$A$2222,MATCH(140,SearchDB!$L$2:$L$2222,0)),"")</f>
        <v/>
      </c>
      <c r="D145" s="26" t="str">
        <f aca="false">IFERROR(INDEX(SearchDB!$B$2:$B$2222,MATCH(140,SearchDB!$L$2:$L$2222,0)),"")</f>
        <v/>
      </c>
      <c r="E145" s="25" t="str">
        <f aca="false">IFERROR(INDEX(SearchDB!$C$2:$C$2222,MATCH(140,SearchDB!$L$2:$L$2222,0)),"")</f>
        <v/>
      </c>
      <c r="F145" s="26" t="str">
        <f aca="false">IFERROR(IF(INDEX(SearchDB!$D$2:$D$2222,MATCH(140,SearchDB!$L$2:$L$2222,0))=0,"",INDEX(SearchDB!$D$2:$D$2222,MATCH(140,SearchDB!$L$2:$L$2222,0))),"")</f>
        <v/>
      </c>
      <c r="G145" s="26" t="str">
        <f aca="false">IFERROR(IF(INDEX(SearchDB!$E$2:$E$2222,MATCH(140,SearchDB!$L$2:$L$2222,0))=0,"",INDEX(SearchDB!$E$2:$E$2222,MATCH(140,SearchDB!$L$2:$L$2222,0))),"")</f>
        <v/>
      </c>
      <c r="H145" s="26" t="str">
        <f aca="false">IFERROR(IF(INDEX(SearchDB!$F$2:$F$2222,MATCH(140,SearchDB!$L$2:$L$2222,0))=0,"",INDEX(SearchDB!$F$2:$F$2222,MATCH(140,SearchDB!$L$2:$L$2222,0))),"")</f>
        <v/>
      </c>
      <c r="I145" s="26" t="str">
        <f aca="false">IFERROR(IF(INDEX(SearchDB!$G$2:$G$2222,MATCH(140,SearchDB!$L$2:$L$2222,0))=0,"",INDEX(SearchDB!$G$2:$G$2222,MATCH(140,SearchDB!$L$2:$L$2222,0))),"")</f>
        <v/>
      </c>
      <c r="J145" s="26" t="str">
        <f aca="false">IFERROR(IF(INDEX(SearchDB!$H$2:$H$2222,MATCH(140,SearchDB!$L$2:$L$2222,0))=0,"",INDEX(SearchDB!$H$2:$H$2222,MATCH(140,SearchDB!$L$2:$L$2222,0))),"")</f>
        <v/>
      </c>
      <c r="K145" s="24"/>
    </row>
    <row r="146" customFormat="false" ht="19.5" hidden="false" customHeight="true" outlineLevel="0" collapsed="false">
      <c r="A146" s="2"/>
      <c r="B146" s="22" t="n">
        <v>141</v>
      </c>
      <c r="C146" s="23" t="str">
        <f aca="false">IFERROR(INDEX(SearchDB!$A$2:$A$2222,MATCH(141,SearchDB!$L$2:$L$2222,0)),"")</f>
        <v/>
      </c>
      <c r="D146" s="23" t="str">
        <f aca="false">IFERROR(INDEX(SearchDB!$B$2:$B$2222,MATCH(141,SearchDB!$L$2:$L$2222,0)),"")</f>
        <v/>
      </c>
      <c r="E146" s="22" t="str">
        <f aca="false">IFERROR(INDEX(SearchDB!$C$2:$C$2222,MATCH(141,SearchDB!$L$2:$L$2222,0)),"")</f>
        <v/>
      </c>
      <c r="F146" s="23" t="str">
        <f aca="false">IFERROR(IF(INDEX(SearchDB!$D$2:$D$2222,MATCH(141,SearchDB!$L$2:$L$2222,0))=0,"",INDEX(SearchDB!$D$2:$D$2222,MATCH(141,SearchDB!$L$2:$L$2222,0))),"")</f>
        <v/>
      </c>
      <c r="G146" s="23" t="str">
        <f aca="false">IFERROR(IF(INDEX(SearchDB!$E$2:$E$2222,MATCH(141,SearchDB!$L$2:$L$2222,0))=0,"",INDEX(SearchDB!$E$2:$E$2222,MATCH(141,SearchDB!$L$2:$L$2222,0))),"")</f>
        <v/>
      </c>
      <c r="H146" s="23" t="str">
        <f aca="false">IFERROR(IF(INDEX(SearchDB!$F$2:$F$2222,MATCH(141,SearchDB!$L$2:$L$2222,0))=0,"",INDEX(SearchDB!$F$2:$F$2222,MATCH(141,SearchDB!$L$2:$L$2222,0))),"")</f>
        <v/>
      </c>
      <c r="I146" s="23" t="str">
        <f aca="false">IFERROR(IF(INDEX(SearchDB!$G$2:$G$2222,MATCH(141,SearchDB!$L$2:$L$2222,0))=0,"",INDEX(SearchDB!$G$2:$G$2222,MATCH(141,SearchDB!$L$2:$L$2222,0))),"")</f>
        <v/>
      </c>
      <c r="J146" s="23" t="str">
        <f aca="false">IFERROR(IF(INDEX(SearchDB!$H$2:$H$2222,MATCH(141,SearchDB!$L$2:$L$2222,0))=0,"",INDEX(SearchDB!$H$2:$H$2222,MATCH(141,SearchDB!$L$2:$L$2222,0))),"")</f>
        <v/>
      </c>
      <c r="K146" s="24"/>
    </row>
    <row r="147" customFormat="false" ht="19.5" hidden="false" customHeight="true" outlineLevel="0" collapsed="false">
      <c r="A147" s="2"/>
      <c r="B147" s="25" t="n">
        <v>142</v>
      </c>
      <c r="C147" s="26" t="str">
        <f aca="false">IFERROR(INDEX(SearchDB!$A$2:$A$2222,MATCH(142,SearchDB!$L$2:$L$2222,0)),"")</f>
        <v/>
      </c>
      <c r="D147" s="26" t="str">
        <f aca="false">IFERROR(INDEX(SearchDB!$B$2:$B$2222,MATCH(142,SearchDB!$L$2:$L$2222,0)),"")</f>
        <v/>
      </c>
      <c r="E147" s="25" t="str">
        <f aca="false">IFERROR(INDEX(SearchDB!$C$2:$C$2222,MATCH(142,SearchDB!$L$2:$L$2222,0)),"")</f>
        <v/>
      </c>
      <c r="F147" s="26" t="str">
        <f aca="false">IFERROR(IF(INDEX(SearchDB!$D$2:$D$2222,MATCH(142,SearchDB!$L$2:$L$2222,0))=0,"",INDEX(SearchDB!$D$2:$D$2222,MATCH(142,SearchDB!$L$2:$L$2222,0))),"")</f>
        <v/>
      </c>
      <c r="G147" s="26" t="str">
        <f aca="false">IFERROR(IF(INDEX(SearchDB!$E$2:$E$2222,MATCH(142,SearchDB!$L$2:$L$2222,0))=0,"",INDEX(SearchDB!$E$2:$E$2222,MATCH(142,SearchDB!$L$2:$L$2222,0))),"")</f>
        <v/>
      </c>
      <c r="H147" s="26" t="str">
        <f aca="false">IFERROR(IF(INDEX(SearchDB!$F$2:$F$2222,MATCH(142,SearchDB!$L$2:$L$2222,0))=0,"",INDEX(SearchDB!$F$2:$F$2222,MATCH(142,SearchDB!$L$2:$L$2222,0))),"")</f>
        <v/>
      </c>
      <c r="I147" s="26" t="str">
        <f aca="false">IFERROR(IF(INDEX(SearchDB!$G$2:$G$2222,MATCH(142,SearchDB!$L$2:$L$2222,0))=0,"",INDEX(SearchDB!$G$2:$G$2222,MATCH(142,SearchDB!$L$2:$L$2222,0))),"")</f>
        <v/>
      </c>
      <c r="J147" s="26" t="str">
        <f aca="false">IFERROR(IF(INDEX(SearchDB!$H$2:$H$2222,MATCH(142,SearchDB!$L$2:$L$2222,0))=0,"",INDEX(SearchDB!$H$2:$H$2222,MATCH(142,SearchDB!$L$2:$L$2222,0))),"")</f>
        <v/>
      </c>
      <c r="K147" s="24"/>
    </row>
    <row r="148" customFormat="false" ht="19.5" hidden="false" customHeight="true" outlineLevel="0" collapsed="false">
      <c r="A148" s="2"/>
      <c r="B148" s="22" t="n">
        <v>143</v>
      </c>
      <c r="C148" s="23" t="str">
        <f aca="false">IFERROR(INDEX(SearchDB!$A$2:$A$2222,MATCH(143,SearchDB!$L$2:$L$2222,0)),"")</f>
        <v/>
      </c>
      <c r="D148" s="23" t="str">
        <f aca="false">IFERROR(INDEX(SearchDB!$B$2:$B$2222,MATCH(143,SearchDB!$L$2:$L$2222,0)),"")</f>
        <v/>
      </c>
      <c r="E148" s="22" t="str">
        <f aca="false">IFERROR(INDEX(SearchDB!$C$2:$C$2222,MATCH(143,SearchDB!$L$2:$L$2222,0)),"")</f>
        <v/>
      </c>
      <c r="F148" s="23" t="str">
        <f aca="false">IFERROR(IF(INDEX(SearchDB!$D$2:$D$2222,MATCH(143,SearchDB!$L$2:$L$2222,0))=0,"",INDEX(SearchDB!$D$2:$D$2222,MATCH(143,SearchDB!$L$2:$L$2222,0))),"")</f>
        <v/>
      </c>
      <c r="G148" s="23" t="str">
        <f aca="false">IFERROR(IF(INDEX(SearchDB!$E$2:$E$2222,MATCH(143,SearchDB!$L$2:$L$2222,0))=0,"",INDEX(SearchDB!$E$2:$E$2222,MATCH(143,SearchDB!$L$2:$L$2222,0))),"")</f>
        <v/>
      </c>
      <c r="H148" s="23" t="str">
        <f aca="false">IFERROR(IF(INDEX(SearchDB!$F$2:$F$2222,MATCH(143,SearchDB!$L$2:$L$2222,0))=0,"",INDEX(SearchDB!$F$2:$F$2222,MATCH(143,SearchDB!$L$2:$L$2222,0))),"")</f>
        <v/>
      </c>
      <c r="I148" s="23" t="str">
        <f aca="false">IFERROR(IF(INDEX(SearchDB!$G$2:$G$2222,MATCH(143,SearchDB!$L$2:$L$2222,0))=0,"",INDEX(SearchDB!$G$2:$G$2222,MATCH(143,SearchDB!$L$2:$L$2222,0))),"")</f>
        <v/>
      </c>
      <c r="J148" s="23" t="str">
        <f aca="false">IFERROR(IF(INDEX(SearchDB!$H$2:$H$2222,MATCH(143,SearchDB!$L$2:$L$2222,0))=0,"",INDEX(SearchDB!$H$2:$H$2222,MATCH(143,SearchDB!$L$2:$L$2222,0))),"")</f>
        <v/>
      </c>
      <c r="K148" s="24"/>
    </row>
    <row r="149" customFormat="false" ht="19.5" hidden="false" customHeight="true" outlineLevel="0" collapsed="false">
      <c r="A149" s="2"/>
      <c r="B149" s="25" t="n">
        <v>144</v>
      </c>
      <c r="C149" s="26" t="str">
        <f aca="false">IFERROR(INDEX(SearchDB!$A$2:$A$2222,MATCH(144,SearchDB!$L$2:$L$2222,0)),"")</f>
        <v/>
      </c>
      <c r="D149" s="26" t="str">
        <f aca="false">IFERROR(INDEX(SearchDB!$B$2:$B$2222,MATCH(144,SearchDB!$L$2:$L$2222,0)),"")</f>
        <v/>
      </c>
      <c r="E149" s="25" t="str">
        <f aca="false">IFERROR(INDEX(SearchDB!$C$2:$C$2222,MATCH(144,SearchDB!$L$2:$L$2222,0)),"")</f>
        <v/>
      </c>
      <c r="F149" s="26" t="str">
        <f aca="false">IFERROR(IF(INDEX(SearchDB!$D$2:$D$2222,MATCH(144,SearchDB!$L$2:$L$2222,0))=0,"",INDEX(SearchDB!$D$2:$D$2222,MATCH(144,SearchDB!$L$2:$L$2222,0))),"")</f>
        <v/>
      </c>
      <c r="G149" s="26" t="str">
        <f aca="false">IFERROR(IF(INDEX(SearchDB!$E$2:$E$2222,MATCH(144,SearchDB!$L$2:$L$2222,0))=0,"",INDEX(SearchDB!$E$2:$E$2222,MATCH(144,SearchDB!$L$2:$L$2222,0))),"")</f>
        <v/>
      </c>
      <c r="H149" s="26" t="str">
        <f aca="false">IFERROR(IF(INDEX(SearchDB!$F$2:$F$2222,MATCH(144,SearchDB!$L$2:$L$2222,0))=0,"",INDEX(SearchDB!$F$2:$F$2222,MATCH(144,SearchDB!$L$2:$L$2222,0))),"")</f>
        <v/>
      </c>
      <c r="I149" s="26" t="str">
        <f aca="false">IFERROR(IF(INDEX(SearchDB!$G$2:$G$2222,MATCH(144,SearchDB!$L$2:$L$2222,0))=0,"",INDEX(SearchDB!$G$2:$G$2222,MATCH(144,SearchDB!$L$2:$L$2222,0))),"")</f>
        <v/>
      </c>
      <c r="J149" s="26" t="str">
        <f aca="false">IFERROR(IF(INDEX(SearchDB!$H$2:$H$2222,MATCH(144,SearchDB!$L$2:$L$2222,0))=0,"",INDEX(SearchDB!$H$2:$H$2222,MATCH(144,SearchDB!$L$2:$L$2222,0))),"")</f>
        <v/>
      </c>
      <c r="K149" s="24"/>
    </row>
    <row r="150" customFormat="false" ht="19.5" hidden="false" customHeight="true" outlineLevel="0" collapsed="false">
      <c r="A150" s="2"/>
      <c r="B150" s="22" t="n">
        <v>145</v>
      </c>
      <c r="C150" s="23" t="str">
        <f aca="false">IFERROR(INDEX(SearchDB!$A$2:$A$2222,MATCH(145,SearchDB!$L$2:$L$2222,0)),"")</f>
        <v/>
      </c>
      <c r="D150" s="23" t="str">
        <f aca="false">IFERROR(INDEX(SearchDB!$B$2:$B$2222,MATCH(145,SearchDB!$L$2:$L$2222,0)),"")</f>
        <v/>
      </c>
      <c r="E150" s="22" t="str">
        <f aca="false">IFERROR(INDEX(SearchDB!$C$2:$C$2222,MATCH(145,SearchDB!$L$2:$L$2222,0)),"")</f>
        <v/>
      </c>
      <c r="F150" s="23" t="str">
        <f aca="false">IFERROR(IF(INDEX(SearchDB!$D$2:$D$2222,MATCH(145,SearchDB!$L$2:$L$2222,0))=0,"",INDEX(SearchDB!$D$2:$D$2222,MATCH(145,SearchDB!$L$2:$L$2222,0))),"")</f>
        <v/>
      </c>
      <c r="G150" s="23" t="str">
        <f aca="false">IFERROR(IF(INDEX(SearchDB!$E$2:$E$2222,MATCH(145,SearchDB!$L$2:$L$2222,0))=0,"",INDEX(SearchDB!$E$2:$E$2222,MATCH(145,SearchDB!$L$2:$L$2222,0))),"")</f>
        <v/>
      </c>
      <c r="H150" s="23" t="str">
        <f aca="false">IFERROR(IF(INDEX(SearchDB!$F$2:$F$2222,MATCH(145,SearchDB!$L$2:$L$2222,0))=0,"",INDEX(SearchDB!$F$2:$F$2222,MATCH(145,SearchDB!$L$2:$L$2222,0))),"")</f>
        <v/>
      </c>
      <c r="I150" s="23" t="str">
        <f aca="false">IFERROR(IF(INDEX(SearchDB!$G$2:$G$2222,MATCH(145,SearchDB!$L$2:$L$2222,0))=0,"",INDEX(SearchDB!$G$2:$G$2222,MATCH(145,SearchDB!$L$2:$L$2222,0))),"")</f>
        <v/>
      </c>
      <c r="J150" s="23" t="str">
        <f aca="false">IFERROR(IF(INDEX(SearchDB!$H$2:$H$2222,MATCH(145,SearchDB!$L$2:$L$2222,0))=0,"",INDEX(SearchDB!$H$2:$H$2222,MATCH(145,SearchDB!$L$2:$L$2222,0))),"")</f>
        <v/>
      </c>
      <c r="K150" s="24"/>
    </row>
    <row r="151" customFormat="false" ht="19.5" hidden="false" customHeight="true" outlineLevel="0" collapsed="false">
      <c r="A151" s="2"/>
      <c r="B151" s="25" t="n">
        <v>146</v>
      </c>
      <c r="C151" s="26" t="str">
        <f aca="false">IFERROR(INDEX(SearchDB!$A$2:$A$2222,MATCH(146,SearchDB!$L$2:$L$2222,0)),"")</f>
        <v/>
      </c>
      <c r="D151" s="26" t="str">
        <f aca="false">IFERROR(INDEX(SearchDB!$B$2:$B$2222,MATCH(146,SearchDB!$L$2:$L$2222,0)),"")</f>
        <v/>
      </c>
      <c r="E151" s="25" t="str">
        <f aca="false">IFERROR(INDEX(SearchDB!$C$2:$C$2222,MATCH(146,SearchDB!$L$2:$L$2222,0)),"")</f>
        <v/>
      </c>
      <c r="F151" s="26" t="str">
        <f aca="false">IFERROR(IF(INDEX(SearchDB!$D$2:$D$2222,MATCH(146,SearchDB!$L$2:$L$2222,0))=0,"",INDEX(SearchDB!$D$2:$D$2222,MATCH(146,SearchDB!$L$2:$L$2222,0))),"")</f>
        <v/>
      </c>
      <c r="G151" s="26" t="str">
        <f aca="false">IFERROR(IF(INDEX(SearchDB!$E$2:$E$2222,MATCH(146,SearchDB!$L$2:$L$2222,0))=0,"",INDEX(SearchDB!$E$2:$E$2222,MATCH(146,SearchDB!$L$2:$L$2222,0))),"")</f>
        <v/>
      </c>
      <c r="H151" s="26" t="str">
        <f aca="false">IFERROR(IF(INDEX(SearchDB!$F$2:$F$2222,MATCH(146,SearchDB!$L$2:$L$2222,0))=0,"",INDEX(SearchDB!$F$2:$F$2222,MATCH(146,SearchDB!$L$2:$L$2222,0))),"")</f>
        <v/>
      </c>
      <c r="I151" s="26" t="str">
        <f aca="false">IFERROR(IF(INDEX(SearchDB!$G$2:$G$2222,MATCH(146,SearchDB!$L$2:$L$2222,0))=0,"",INDEX(SearchDB!$G$2:$G$2222,MATCH(146,SearchDB!$L$2:$L$2222,0))),"")</f>
        <v/>
      </c>
      <c r="J151" s="26" t="str">
        <f aca="false">IFERROR(IF(INDEX(SearchDB!$H$2:$H$2222,MATCH(146,SearchDB!$L$2:$L$2222,0))=0,"",INDEX(SearchDB!$H$2:$H$2222,MATCH(146,SearchDB!$L$2:$L$2222,0))),"")</f>
        <v/>
      </c>
      <c r="K151" s="24"/>
    </row>
    <row r="152" customFormat="false" ht="19.5" hidden="false" customHeight="true" outlineLevel="0" collapsed="false">
      <c r="A152" s="2"/>
      <c r="B152" s="22" t="n">
        <v>147</v>
      </c>
      <c r="C152" s="23" t="str">
        <f aca="false">IFERROR(INDEX(SearchDB!$A$2:$A$2222,MATCH(147,SearchDB!$L$2:$L$2222,0)),"")</f>
        <v/>
      </c>
      <c r="D152" s="23" t="str">
        <f aca="false">IFERROR(INDEX(SearchDB!$B$2:$B$2222,MATCH(147,SearchDB!$L$2:$L$2222,0)),"")</f>
        <v/>
      </c>
      <c r="E152" s="22" t="str">
        <f aca="false">IFERROR(INDEX(SearchDB!$C$2:$C$2222,MATCH(147,SearchDB!$L$2:$L$2222,0)),"")</f>
        <v/>
      </c>
      <c r="F152" s="23" t="str">
        <f aca="false">IFERROR(IF(INDEX(SearchDB!$D$2:$D$2222,MATCH(147,SearchDB!$L$2:$L$2222,0))=0,"",INDEX(SearchDB!$D$2:$D$2222,MATCH(147,SearchDB!$L$2:$L$2222,0))),"")</f>
        <v/>
      </c>
      <c r="G152" s="23" t="str">
        <f aca="false">IFERROR(IF(INDEX(SearchDB!$E$2:$E$2222,MATCH(147,SearchDB!$L$2:$L$2222,0))=0,"",INDEX(SearchDB!$E$2:$E$2222,MATCH(147,SearchDB!$L$2:$L$2222,0))),"")</f>
        <v/>
      </c>
      <c r="H152" s="23" t="str">
        <f aca="false">IFERROR(IF(INDEX(SearchDB!$F$2:$F$2222,MATCH(147,SearchDB!$L$2:$L$2222,0))=0,"",INDEX(SearchDB!$F$2:$F$2222,MATCH(147,SearchDB!$L$2:$L$2222,0))),"")</f>
        <v/>
      </c>
      <c r="I152" s="23" t="str">
        <f aca="false">IFERROR(IF(INDEX(SearchDB!$G$2:$G$2222,MATCH(147,SearchDB!$L$2:$L$2222,0))=0,"",INDEX(SearchDB!$G$2:$G$2222,MATCH(147,SearchDB!$L$2:$L$2222,0))),"")</f>
        <v/>
      </c>
      <c r="J152" s="23" t="str">
        <f aca="false">IFERROR(IF(INDEX(SearchDB!$H$2:$H$2222,MATCH(147,SearchDB!$L$2:$L$2222,0))=0,"",INDEX(SearchDB!$H$2:$H$2222,MATCH(147,SearchDB!$L$2:$L$2222,0))),"")</f>
        <v/>
      </c>
      <c r="K152" s="24"/>
    </row>
    <row r="153" customFormat="false" ht="19.5" hidden="false" customHeight="true" outlineLevel="0" collapsed="false">
      <c r="A153" s="2"/>
      <c r="B153" s="25" t="n">
        <v>148</v>
      </c>
      <c r="C153" s="26" t="str">
        <f aca="false">IFERROR(INDEX(SearchDB!$A$2:$A$2222,MATCH(148,SearchDB!$L$2:$L$2222,0)),"")</f>
        <v/>
      </c>
      <c r="D153" s="26" t="str">
        <f aca="false">IFERROR(INDEX(SearchDB!$B$2:$B$2222,MATCH(148,SearchDB!$L$2:$L$2222,0)),"")</f>
        <v/>
      </c>
      <c r="E153" s="25" t="str">
        <f aca="false">IFERROR(INDEX(SearchDB!$C$2:$C$2222,MATCH(148,SearchDB!$L$2:$L$2222,0)),"")</f>
        <v/>
      </c>
      <c r="F153" s="26" t="str">
        <f aca="false">IFERROR(IF(INDEX(SearchDB!$D$2:$D$2222,MATCH(148,SearchDB!$L$2:$L$2222,0))=0,"",INDEX(SearchDB!$D$2:$D$2222,MATCH(148,SearchDB!$L$2:$L$2222,0))),"")</f>
        <v/>
      </c>
      <c r="G153" s="26" t="str">
        <f aca="false">IFERROR(IF(INDEX(SearchDB!$E$2:$E$2222,MATCH(148,SearchDB!$L$2:$L$2222,0))=0,"",INDEX(SearchDB!$E$2:$E$2222,MATCH(148,SearchDB!$L$2:$L$2222,0))),"")</f>
        <v/>
      </c>
      <c r="H153" s="26" t="str">
        <f aca="false">IFERROR(IF(INDEX(SearchDB!$F$2:$F$2222,MATCH(148,SearchDB!$L$2:$L$2222,0))=0,"",INDEX(SearchDB!$F$2:$F$2222,MATCH(148,SearchDB!$L$2:$L$2222,0))),"")</f>
        <v/>
      </c>
      <c r="I153" s="26" t="str">
        <f aca="false">IFERROR(IF(INDEX(SearchDB!$G$2:$G$2222,MATCH(148,SearchDB!$L$2:$L$2222,0))=0,"",INDEX(SearchDB!$G$2:$G$2222,MATCH(148,SearchDB!$L$2:$L$2222,0))),"")</f>
        <v/>
      </c>
      <c r="J153" s="26" t="str">
        <f aca="false">IFERROR(IF(INDEX(SearchDB!$H$2:$H$2222,MATCH(148,SearchDB!$L$2:$L$2222,0))=0,"",INDEX(SearchDB!$H$2:$H$2222,MATCH(148,SearchDB!$L$2:$L$2222,0))),"")</f>
        <v/>
      </c>
      <c r="K153" s="24"/>
    </row>
    <row r="154" customFormat="false" ht="19.5" hidden="false" customHeight="true" outlineLevel="0" collapsed="false">
      <c r="A154" s="2"/>
      <c r="B154" s="22" t="n">
        <v>149</v>
      </c>
      <c r="C154" s="23" t="str">
        <f aca="false">IFERROR(INDEX(SearchDB!$A$2:$A$2222,MATCH(149,SearchDB!$L$2:$L$2222,0)),"")</f>
        <v/>
      </c>
      <c r="D154" s="23" t="str">
        <f aca="false">IFERROR(INDEX(SearchDB!$B$2:$B$2222,MATCH(149,SearchDB!$L$2:$L$2222,0)),"")</f>
        <v/>
      </c>
      <c r="E154" s="22" t="str">
        <f aca="false">IFERROR(INDEX(SearchDB!$C$2:$C$2222,MATCH(149,SearchDB!$L$2:$L$2222,0)),"")</f>
        <v/>
      </c>
      <c r="F154" s="23" t="str">
        <f aca="false">IFERROR(IF(INDEX(SearchDB!$D$2:$D$2222,MATCH(149,SearchDB!$L$2:$L$2222,0))=0,"",INDEX(SearchDB!$D$2:$D$2222,MATCH(149,SearchDB!$L$2:$L$2222,0))),"")</f>
        <v/>
      </c>
      <c r="G154" s="23" t="str">
        <f aca="false">IFERROR(IF(INDEX(SearchDB!$E$2:$E$2222,MATCH(149,SearchDB!$L$2:$L$2222,0))=0,"",INDEX(SearchDB!$E$2:$E$2222,MATCH(149,SearchDB!$L$2:$L$2222,0))),"")</f>
        <v/>
      </c>
      <c r="H154" s="23" t="str">
        <f aca="false">IFERROR(IF(INDEX(SearchDB!$F$2:$F$2222,MATCH(149,SearchDB!$L$2:$L$2222,0))=0,"",INDEX(SearchDB!$F$2:$F$2222,MATCH(149,SearchDB!$L$2:$L$2222,0))),"")</f>
        <v/>
      </c>
      <c r="I154" s="23" t="str">
        <f aca="false">IFERROR(IF(INDEX(SearchDB!$G$2:$G$2222,MATCH(149,SearchDB!$L$2:$L$2222,0))=0,"",INDEX(SearchDB!$G$2:$G$2222,MATCH(149,SearchDB!$L$2:$L$2222,0))),"")</f>
        <v/>
      </c>
      <c r="J154" s="23" t="str">
        <f aca="false">IFERROR(IF(INDEX(SearchDB!$H$2:$H$2222,MATCH(149,SearchDB!$L$2:$L$2222,0))=0,"",INDEX(SearchDB!$H$2:$H$2222,MATCH(149,SearchDB!$L$2:$L$2222,0))),"")</f>
        <v/>
      </c>
      <c r="K154" s="24"/>
    </row>
    <row r="155" customFormat="false" ht="19.5" hidden="false" customHeight="true" outlineLevel="0" collapsed="false">
      <c r="A155" s="2"/>
      <c r="B155" s="25" t="n">
        <v>150</v>
      </c>
      <c r="C155" s="26" t="str">
        <f aca="false">IFERROR(INDEX(SearchDB!$A$2:$A$2222,MATCH(150,SearchDB!$L$2:$L$2222,0)),"")</f>
        <v/>
      </c>
      <c r="D155" s="26" t="str">
        <f aca="false">IFERROR(INDEX(SearchDB!$B$2:$B$2222,MATCH(150,SearchDB!$L$2:$L$2222,0)),"")</f>
        <v/>
      </c>
      <c r="E155" s="25" t="str">
        <f aca="false">IFERROR(INDEX(SearchDB!$C$2:$C$2222,MATCH(150,SearchDB!$L$2:$L$2222,0)),"")</f>
        <v/>
      </c>
      <c r="F155" s="26" t="str">
        <f aca="false">IFERROR(IF(INDEX(SearchDB!$D$2:$D$2222,MATCH(150,SearchDB!$L$2:$L$2222,0))=0,"",INDEX(SearchDB!$D$2:$D$2222,MATCH(150,SearchDB!$L$2:$L$2222,0))),"")</f>
        <v/>
      </c>
      <c r="G155" s="26" t="str">
        <f aca="false">IFERROR(IF(INDEX(SearchDB!$E$2:$E$2222,MATCH(150,SearchDB!$L$2:$L$2222,0))=0,"",INDEX(SearchDB!$E$2:$E$2222,MATCH(150,SearchDB!$L$2:$L$2222,0))),"")</f>
        <v/>
      </c>
      <c r="H155" s="26" t="str">
        <f aca="false">IFERROR(IF(INDEX(SearchDB!$F$2:$F$2222,MATCH(150,SearchDB!$L$2:$L$2222,0))=0,"",INDEX(SearchDB!$F$2:$F$2222,MATCH(150,SearchDB!$L$2:$L$2222,0))),"")</f>
        <v/>
      </c>
      <c r="I155" s="26" t="str">
        <f aca="false">IFERROR(IF(INDEX(SearchDB!$G$2:$G$2222,MATCH(150,SearchDB!$L$2:$L$2222,0))=0,"",INDEX(SearchDB!$G$2:$G$2222,MATCH(150,SearchDB!$L$2:$L$2222,0))),"")</f>
        <v/>
      </c>
      <c r="J155" s="26" t="str">
        <f aca="false">IFERROR(IF(INDEX(SearchDB!$H$2:$H$2222,MATCH(150,SearchDB!$L$2:$L$2222,0))=0,"",INDEX(SearchDB!$H$2:$H$2222,MATCH(150,SearchDB!$L$2:$L$2222,0))),"")</f>
        <v/>
      </c>
      <c r="K155" s="24"/>
    </row>
    <row r="156" customFormat="false" ht="19.5" hidden="false" customHeight="true" outlineLevel="0" collapsed="false">
      <c r="A156" s="2"/>
      <c r="B156" s="22" t="n">
        <v>151</v>
      </c>
      <c r="C156" s="23" t="str">
        <f aca="false">IFERROR(INDEX(SearchDB!$A$2:$A$2222,MATCH(151,SearchDB!$L$2:$L$2222,0)),"")</f>
        <v/>
      </c>
      <c r="D156" s="23" t="str">
        <f aca="false">IFERROR(INDEX(SearchDB!$B$2:$B$2222,MATCH(151,SearchDB!$L$2:$L$2222,0)),"")</f>
        <v/>
      </c>
      <c r="E156" s="22" t="str">
        <f aca="false">IFERROR(INDEX(SearchDB!$C$2:$C$2222,MATCH(151,SearchDB!$L$2:$L$2222,0)),"")</f>
        <v/>
      </c>
      <c r="F156" s="23" t="str">
        <f aca="false">IFERROR(IF(INDEX(SearchDB!$D$2:$D$2222,MATCH(151,SearchDB!$L$2:$L$2222,0))=0,"",INDEX(SearchDB!$D$2:$D$2222,MATCH(151,SearchDB!$L$2:$L$2222,0))),"")</f>
        <v/>
      </c>
      <c r="G156" s="23" t="str">
        <f aca="false">IFERROR(IF(INDEX(SearchDB!$E$2:$E$2222,MATCH(151,SearchDB!$L$2:$L$2222,0))=0,"",INDEX(SearchDB!$E$2:$E$2222,MATCH(151,SearchDB!$L$2:$L$2222,0))),"")</f>
        <v/>
      </c>
      <c r="H156" s="23" t="str">
        <f aca="false">IFERROR(IF(INDEX(SearchDB!$F$2:$F$2222,MATCH(151,SearchDB!$L$2:$L$2222,0))=0,"",INDEX(SearchDB!$F$2:$F$2222,MATCH(151,SearchDB!$L$2:$L$2222,0))),"")</f>
        <v/>
      </c>
      <c r="I156" s="23" t="str">
        <f aca="false">IFERROR(IF(INDEX(SearchDB!$G$2:$G$2222,MATCH(151,SearchDB!$L$2:$L$2222,0))=0,"",INDEX(SearchDB!$G$2:$G$2222,MATCH(151,SearchDB!$L$2:$L$2222,0))),"")</f>
        <v/>
      </c>
      <c r="J156" s="23" t="str">
        <f aca="false">IFERROR(IF(INDEX(SearchDB!$H$2:$H$2222,MATCH(151,SearchDB!$L$2:$L$2222,0))=0,"",INDEX(SearchDB!$H$2:$H$2222,MATCH(151,SearchDB!$L$2:$L$2222,0))),"")</f>
        <v/>
      </c>
      <c r="K156" s="24"/>
    </row>
    <row r="157" customFormat="false" ht="19.5" hidden="false" customHeight="true" outlineLevel="0" collapsed="false">
      <c r="A157" s="2"/>
      <c r="B157" s="25" t="n">
        <v>152</v>
      </c>
      <c r="C157" s="26" t="str">
        <f aca="false">IFERROR(INDEX(SearchDB!$A$2:$A$2222,MATCH(152,SearchDB!$L$2:$L$2222,0)),"")</f>
        <v/>
      </c>
      <c r="D157" s="26" t="str">
        <f aca="false">IFERROR(INDEX(SearchDB!$B$2:$B$2222,MATCH(152,SearchDB!$L$2:$L$2222,0)),"")</f>
        <v/>
      </c>
      <c r="E157" s="25" t="str">
        <f aca="false">IFERROR(INDEX(SearchDB!$C$2:$C$2222,MATCH(152,SearchDB!$L$2:$L$2222,0)),"")</f>
        <v/>
      </c>
      <c r="F157" s="26" t="str">
        <f aca="false">IFERROR(IF(INDEX(SearchDB!$D$2:$D$2222,MATCH(152,SearchDB!$L$2:$L$2222,0))=0,"",INDEX(SearchDB!$D$2:$D$2222,MATCH(152,SearchDB!$L$2:$L$2222,0))),"")</f>
        <v/>
      </c>
      <c r="G157" s="26" t="str">
        <f aca="false">IFERROR(IF(INDEX(SearchDB!$E$2:$E$2222,MATCH(152,SearchDB!$L$2:$L$2222,0))=0,"",INDEX(SearchDB!$E$2:$E$2222,MATCH(152,SearchDB!$L$2:$L$2222,0))),"")</f>
        <v/>
      </c>
      <c r="H157" s="26" t="str">
        <f aca="false">IFERROR(IF(INDEX(SearchDB!$F$2:$F$2222,MATCH(152,SearchDB!$L$2:$L$2222,0))=0,"",INDEX(SearchDB!$F$2:$F$2222,MATCH(152,SearchDB!$L$2:$L$2222,0))),"")</f>
        <v/>
      </c>
      <c r="I157" s="26" t="str">
        <f aca="false">IFERROR(IF(INDEX(SearchDB!$G$2:$G$2222,MATCH(152,SearchDB!$L$2:$L$2222,0))=0,"",INDEX(SearchDB!$G$2:$G$2222,MATCH(152,SearchDB!$L$2:$L$2222,0))),"")</f>
        <v/>
      </c>
      <c r="J157" s="26" t="str">
        <f aca="false">IFERROR(IF(INDEX(SearchDB!$H$2:$H$2222,MATCH(152,SearchDB!$L$2:$L$2222,0))=0,"",INDEX(SearchDB!$H$2:$H$2222,MATCH(152,SearchDB!$L$2:$L$2222,0))),"")</f>
        <v/>
      </c>
      <c r="K157" s="24"/>
    </row>
    <row r="158" customFormat="false" ht="19.5" hidden="false" customHeight="true" outlineLevel="0" collapsed="false">
      <c r="A158" s="2"/>
      <c r="B158" s="22" t="n">
        <v>153</v>
      </c>
      <c r="C158" s="23" t="str">
        <f aca="false">IFERROR(INDEX(SearchDB!$A$2:$A$2222,MATCH(153,SearchDB!$L$2:$L$2222,0)),"")</f>
        <v/>
      </c>
      <c r="D158" s="23" t="str">
        <f aca="false">IFERROR(INDEX(SearchDB!$B$2:$B$2222,MATCH(153,SearchDB!$L$2:$L$2222,0)),"")</f>
        <v/>
      </c>
      <c r="E158" s="22" t="str">
        <f aca="false">IFERROR(INDEX(SearchDB!$C$2:$C$2222,MATCH(153,SearchDB!$L$2:$L$2222,0)),"")</f>
        <v/>
      </c>
      <c r="F158" s="23" t="str">
        <f aca="false">IFERROR(IF(INDEX(SearchDB!$D$2:$D$2222,MATCH(153,SearchDB!$L$2:$L$2222,0))=0,"",INDEX(SearchDB!$D$2:$D$2222,MATCH(153,SearchDB!$L$2:$L$2222,0))),"")</f>
        <v/>
      </c>
      <c r="G158" s="23" t="str">
        <f aca="false">IFERROR(IF(INDEX(SearchDB!$E$2:$E$2222,MATCH(153,SearchDB!$L$2:$L$2222,0))=0,"",INDEX(SearchDB!$E$2:$E$2222,MATCH(153,SearchDB!$L$2:$L$2222,0))),"")</f>
        <v/>
      </c>
      <c r="H158" s="23" t="str">
        <f aca="false">IFERROR(IF(INDEX(SearchDB!$F$2:$F$2222,MATCH(153,SearchDB!$L$2:$L$2222,0))=0,"",INDEX(SearchDB!$F$2:$F$2222,MATCH(153,SearchDB!$L$2:$L$2222,0))),"")</f>
        <v/>
      </c>
      <c r="I158" s="23" t="str">
        <f aca="false">IFERROR(IF(INDEX(SearchDB!$G$2:$G$2222,MATCH(153,SearchDB!$L$2:$L$2222,0))=0,"",INDEX(SearchDB!$G$2:$G$2222,MATCH(153,SearchDB!$L$2:$L$2222,0))),"")</f>
        <v/>
      </c>
      <c r="J158" s="23" t="str">
        <f aca="false">IFERROR(IF(INDEX(SearchDB!$H$2:$H$2222,MATCH(153,SearchDB!$L$2:$L$2222,0))=0,"",INDEX(SearchDB!$H$2:$H$2222,MATCH(153,SearchDB!$L$2:$L$2222,0))),"")</f>
        <v/>
      </c>
      <c r="K158" s="24"/>
    </row>
    <row r="159" customFormat="false" ht="19.5" hidden="false" customHeight="true" outlineLevel="0" collapsed="false">
      <c r="A159" s="2"/>
      <c r="B159" s="25" t="n">
        <v>154</v>
      </c>
      <c r="C159" s="26" t="str">
        <f aca="false">IFERROR(INDEX(SearchDB!$A$2:$A$2222,MATCH(154,SearchDB!$L$2:$L$2222,0)),"")</f>
        <v/>
      </c>
      <c r="D159" s="26" t="str">
        <f aca="false">IFERROR(INDEX(SearchDB!$B$2:$B$2222,MATCH(154,SearchDB!$L$2:$L$2222,0)),"")</f>
        <v/>
      </c>
      <c r="E159" s="25" t="str">
        <f aca="false">IFERROR(INDEX(SearchDB!$C$2:$C$2222,MATCH(154,SearchDB!$L$2:$L$2222,0)),"")</f>
        <v/>
      </c>
      <c r="F159" s="26" t="str">
        <f aca="false">IFERROR(IF(INDEX(SearchDB!$D$2:$D$2222,MATCH(154,SearchDB!$L$2:$L$2222,0))=0,"",INDEX(SearchDB!$D$2:$D$2222,MATCH(154,SearchDB!$L$2:$L$2222,0))),"")</f>
        <v/>
      </c>
      <c r="G159" s="26" t="str">
        <f aca="false">IFERROR(IF(INDEX(SearchDB!$E$2:$E$2222,MATCH(154,SearchDB!$L$2:$L$2222,0))=0,"",INDEX(SearchDB!$E$2:$E$2222,MATCH(154,SearchDB!$L$2:$L$2222,0))),"")</f>
        <v/>
      </c>
      <c r="H159" s="26" t="str">
        <f aca="false">IFERROR(IF(INDEX(SearchDB!$F$2:$F$2222,MATCH(154,SearchDB!$L$2:$L$2222,0))=0,"",INDEX(SearchDB!$F$2:$F$2222,MATCH(154,SearchDB!$L$2:$L$2222,0))),"")</f>
        <v/>
      </c>
      <c r="I159" s="26" t="str">
        <f aca="false">IFERROR(IF(INDEX(SearchDB!$G$2:$G$2222,MATCH(154,SearchDB!$L$2:$L$2222,0))=0,"",INDEX(SearchDB!$G$2:$G$2222,MATCH(154,SearchDB!$L$2:$L$2222,0))),"")</f>
        <v/>
      </c>
      <c r="J159" s="26" t="str">
        <f aca="false">IFERROR(IF(INDEX(SearchDB!$H$2:$H$2222,MATCH(154,SearchDB!$L$2:$L$2222,0))=0,"",INDEX(SearchDB!$H$2:$H$2222,MATCH(154,SearchDB!$L$2:$L$2222,0))),"")</f>
        <v/>
      </c>
      <c r="K159" s="24"/>
    </row>
    <row r="160" customFormat="false" ht="19.5" hidden="false" customHeight="true" outlineLevel="0" collapsed="false">
      <c r="A160" s="2"/>
      <c r="B160" s="22" t="n">
        <v>155</v>
      </c>
      <c r="C160" s="23" t="str">
        <f aca="false">IFERROR(INDEX(SearchDB!$A$2:$A$2222,MATCH(155,SearchDB!$L$2:$L$2222,0)),"")</f>
        <v/>
      </c>
      <c r="D160" s="23" t="str">
        <f aca="false">IFERROR(INDEX(SearchDB!$B$2:$B$2222,MATCH(155,SearchDB!$L$2:$L$2222,0)),"")</f>
        <v/>
      </c>
      <c r="E160" s="22" t="str">
        <f aca="false">IFERROR(INDEX(SearchDB!$C$2:$C$2222,MATCH(155,SearchDB!$L$2:$L$2222,0)),"")</f>
        <v/>
      </c>
      <c r="F160" s="23" t="str">
        <f aca="false">IFERROR(IF(INDEX(SearchDB!$D$2:$D$2222,MATCH(155,SearchDB!$L$2:$L$2222,0))=0,"",INDEX(SearchDB!$D$2:$D$2222,MATCH(155,SearchDB!$L$2:$L$2222,0))),"")</f>
        <v/>
      </c>
      <c r="G160" s="23" t="str">
        <f aca="false">IFERROR(IF(INDEX(SearchDB!$E$2:$E$2222,MATCH(155,SearchDB!$L$2:$L$2222,0))=0,"",INDEX(SearchDB!$E$2:$E$2222,MATCH(155,SearchDB!$L$2:$L$2222,0))),"")</f>
        <v/>
      </c>
      <c r="H160" s="23" t="str">
        <f aca="false">IFERROR(IF(INDEX(SearchDB!$F$2:$F$2222,MATCH(155,SearchDB!$L$2:$L$2222,0))=0,"",INDEX(SearchDB!$F$2:$F$2222,MATCH(155,SearchDB!$L$2:$L$2222,0))),"")</f>
        <v/>
      </c>
      <c r="I160" s="23" t="str">
        <f aca="false">IFERROR(IF(INDEX(SearchDB!$G$2:$G$2222,MATCH(155,SearchDB!$L$2:$L$2222,0))=0,"",INDEX(SearchDB!$G$2:$G$2222,MATCH(155,SearchDB!$L$2:$L$2222,0))),"")</f>
        <v/>
      </c>
      <c r="J160" s="23" t="str">
        <f aca="false">IFERROR(IF(INDEX(SearchDB!$H$2:$H$2222,MATCH(155,SearchDB!$L$2:$L$2222,0))=0,"",INDEX(SearchDB!$H$2:$H$2222,MATCH(155,SearchDB!$L$2:$L$2222,0))),"")</f>
        <v/>
      </c>
      <c r="K160" s="24"/>
    </row>
    <row r="161" customFormat="false" ht="19.5" hidden="false" customHeight="true" outlineLevel="0" collapsed="false">
      <c r="A161" s="2"/>
      <c r="B161" s="25" t="n">
        <v>156</v>
      </c>
      <c r="C161" s="26" t="str">
        <f aca="false">IFERROR(INDEX(SearchDB!$A$2:$A$2222,MATCH(156,SearchDB!$L$2:$L$2222,0)),"")</f>
        <v/>
      </c>
      <c r="D161" s="26" t="str">
        <f aca="false">IFERROR(INDEX(SearchDB!$B$2:$B$2222,MATCH(156,SearchDB!$L$2:$L$2222,0)),"")</f>
        <v/>
      </c>
      <c r="E161" s="25" t="str">
        <f aca="false">IFERROR(INDEX(SearchDB!$C$2:$C$2222,MATCH(156,SearchDB!$L$2:$L$2222,0)),"")</f>
        <v/>
      </c>
      <c r="F161" s="26" t="str">
        <f aca="false">IFERROR(IF(INDEX(SearchDB!$D$2:$D$2222,MATCH(156,SearchDB!$L$2:$L$2222,0))=0,"",INDEX(SearchDB!$D$2:$D$2222,MATCH(156,SearchDB!$L$2:$L$2222,0))),"")</f>
        <v/>
      </c>
      <c r="G161" s="26" t="str">
        <f aca="false">IFERROR(IF(INDEX(SearchDB!$E$2:$E$2222,MATCH(156,SearchDB!$L$2:$L$2222,0))=0,"",INDEX(SearchDB!$E$2:$E$2222,MATCH(156,SearchDB!$L$2:$L$2222,0))),"")</f>
        <v/>
      </c>
      <c r="H161" s="26" t="str">
        <f aca="false">IFERROR(IF(INDEX(SearchDB!$F$2:$F$2222,MATCH(156,SearchDB!$L$2:$L$2222,0))=0,"",INDEX(SearchDB!$F$2:$F$2222,MATCH(156,SearchDB!$L$2:$L$2222,0))),"")</f>
        <v/>
      </c>
      <c r="I161" s="26" t="str">
        <f aca="false">IFERROR(IF(INDEX(SearchDB!$G$2:$G$2222,MATCH(156,SearchDB!$L$2:$L$2222,0))=0,"",INDEX(SearchDB!$G$2:$G$2222,MATCH(156,SearchDB!$L$2:$L$2222,0))),"")</f>
        <v/>
      </c>
      <c r="J161" s="26" t="str">
        <f aca="false">IFERROR(IF(INDEX(SearchDB!$H$2:$H$2222,MATCH(156,SearchDB!$L$2:$L$2222,0))=0,"",INDEX(SearchDB!$H$2:$H$2222,MATCH(156,SearchDB!$L$2:$L$2222,0))),"")</f>
        <v/>
      </c>
      <c r="K161" s="24"/>
    </row>
    <row r="162" customFormat="false" ht="19.5" hidden="false" customHeight="true" outlineLevel="0" collapsed="false">
      <c r="A162" s="2"/>
      <c r="B162" s="22" t="n">
        <v>157</v>
      </c>
      <c r="C162" s="23" t="str">
        <f aca="false">IFERROR(INDEX(SearchDB!$A$2:$A$2222,MATCH(157,SearchDB!$L$2:$L$2222,0)),"")</f>
        <v/>
      </c>
      <c r="D162" s="23" t="str">
        <f aca="false">IFERROR(INDEX(SearchDB!$B$2:$B$2222,MATCH(157,SearchDB!$L$2:$L$2222,0)),"")</f>
        <v/>
      </c>
      <c r="E162" s="22" t="str">
        <f aca="false">IFERROR(INDEX(SearchDB!$C$2:$C$2222,MATCH(157,SearchDB!$L$2:$L$2222,0)),"")</f>
        <v/>
      </c>
      <c r="F162" s="23" t="str">
        <f aca="false">IFERROR(IF(INDEX(SearchDB!$D$2:$D$2222,MATCH(157,SearchDB!$L$2:$L$2222,0))=0,"",INDEX(SearchDB!$D$2:$D$2222,MATCH(157,SearchDB!$L$2:$L$2222,0))),"")</f>
        <v/>
      </c>
      <c r="G162" s="23" t="str">
        <f aca="false">IFERROR(IF(INDEX(SearchDB!$E$2:$E$2222,MATCH(157,SearchDB!$L$2:$L$2222,0))=0,"",INDEX(SearchDB!$E$2:$E$2222,MATCH(157,SearchDB!$L$2:$L$2222,0))),"")</f>
        <v/>
      </c>
      <c r="H162" s="23" t="str">
        <f aca="false">IFERROR(IF(INDEX(SearchDB!$F$2:$F$2222,MATCH(157,SearchDB!$L$2:$L$2222,0))=0,"",INDEX(SearchDB!$F$2:$F$2222,MATCH(157,SearchDB!$L$2:$L$2222,0))),"")</f>
        <v/>
      </c>
      <c r="I162" s="23" t="str">
        <f aca="false">IFERROR(IF(INDEX(SearchDB!$G$2:$G$2222,MATCH(157,SearchDB!$L$2:$L$2222,0))=0,"",INDEX(SearchDB!$G$2:$G$2222,MATCH(157,SearchDB!$L$2:$L$2222,0))),"")</f>
        <v/>
      </c>
      <c r="J162" s="23" t="str">
        <f aca="false">IFERROR(IF(INDEX(SearchDB!$H$2:$H$2222,MATCH(157,SearchDB!$L$2:$L$2222,0))=0,"",INDEX(SearchDB!$H$2:$H$2222,MATCH(157,SearchDB!$L$2:$L$2222,0))),"")</f>
        <v/>
      </c>
      <c r="K162" s="24"/>
    </row>
    <row r="163" customFormat="false" ht="19.5" hidden="false" customHeight="true" outlineLevel="0" collapsed="false">
      <c r="A163" s="2"/>
      <c r="B163" s="25" t="n">
        <v>158</v>
      </c>
      <c r="C163" s="26" t="str">
        <f aca="false">IFERROR(INDEX(SearchDB!$A$2:$A$2222,MATCH(158,SearchDB!$L$2:$L$2222,0)),"")</f>
        <v/>
      </c>
      <c r="D163" s="26" t="str">
        <f aca="false">IFERROR(INDEX(SearchDB!$B$2:$B$2222,MATCH(158,SearchDB!$L$2:$L$2222,0)),"")</f>
        <v/>
      </c>
      <c r="E163" s="25" t="str">
        <f aca="false">IFERROR(INDEX(SearchDB!$C$2:$C$2222,MATCH(158,SearchDB!$L$2:$L$2222,0)),"")</f>
        <v/>
      </c>
      <c r="F163" s="26" t="str">
        <f aca="false">IFERROR(IF(INDEX(SearchDB!$D$2:$D$2222,MATCH(158,SearchDB!$L$2:$L$2222,0))=0,"",INDEX(SearchDB!$D$2:$D$2222,MATCH(158,SearchDB!$L$2:$L$2222,0))),"")</f>
        <v/>
      </c>
      <c r="G163" s="26" t="str">
        <f aca="false">IFERROR(IF(INDEX(SearchDB!$E$2:$E$2222,MATCH(158,SearchDB!$L$2:$L$2222,0))=0,"",INDEX(SearchDB!$E$2:$E$2222,MATCH(158,SearchDB!$L$2:$L$2222,0))),"")</f>
        <v/>
      </c>
      <c r="H163" s="26" t="str">
        <f aca="false">IFERROR(IF(INDEX(SearchDB!$F$2:$F$2222,MATCH(158,SearchDB!$L$2:$L$2222,0))=0,"",INDEX(SearchDB!$F$2:$F$2222,MATCH(158,SearchDB!$L$2:$L$2222,0))),"")</f>
        <v/>
      </c>
      <c r="I163" s="26" t="str">
        <f aca="false">IFERROR(IF(INDEX(SearchDB!$G$2:$G$2222,MATCH(158,SearchDB!$L$2:$L$2222,0))=0,"",INDEX(SearchDB!$G$2:$G$2222,MATCH(158,SearchDB!$L$2:$L$2222,0))),"")</f>
        <v/>
      </c>
      <c r="J163" s="26" t="str">
        <f aca="false">IFERROR(IF(INDEX(SearchDB!$H$2:$H$2222,MATCH(158,SearchDB!$L$2:$L$2222,0))=0,"",INDEX(SearchDB!$H$2:$H$2222,MATCH(158,SearchDB!$L$2:$L$2222,0))),"")</f>
        <v/>
      </c>
      <c r="K163" s="24"/>
    </row>
    <row r="164" customFormat="false" ht="19.5" hidden="false" customHeight="true" outlineLevel="0" collapsed="false">
      <c r="A164" s="2"/>
      <c r="B164" s="22" t="n">
        <v>159</v>
      </c>
      <c r="C164" s="23" t="str">
        <f aca="false">IFERROR(INDEX(SearchDB!$A$2:$A$2222,MATCH(159,SearchDB!$L$2:$L$2222,0)),"")</f>
        <v/>
      </c>
      <c r="D164" s="23" t="str">
        <f aca="false">IFERROR(INDEX(SearchDB!$B$2:$B$2222,MATCH(159,SearchDB!$L$2:$L$2222,0)),"")</f>
        <v/>
      </c>
      <c r="E164" s="22" t="str">
        <f aca="false">IFERROR(INDEX(SearchDB!$C$2:$C$2222,MATCH(159,SearchDB!$L$2:$L$2222,0)),"")</f>
        <v/>
      </c>
      <c r="F164" s="23" t="str">
        <f aca="false">IFERROR(IF(INDEX(SearchDB!$D$2:$D$2222,MATCH(159,SearchDB!$L$2:$L$2222,0))=0,"",INDEX(SearchDB!$D$2:$D$2222,MATCH(159,SearchDB!$L$2:$L$2222,0))),"")</f>
        <v/>
      </c>
      <c r="G164" s="23" t="str">
        <f aca="false">IFERROR(IF(INDEX(SearchDB!$E$2:$E$2222,MATCH(159,SearchDB!$L$2:$L$2222,0))=0,"",INDEX(SearchDB!$E$2:$E$2222,MATCH(159,SearchDB!$L$2:$L$2222,0))),"")</f>
        <v/>
      </c>
      <c r="H164" s="23" t="str">
        <f aca="false">IFERROR(IF(INDEX(SearchDB!$F$2:$F$2222,MATCH(159,SearchDB!$L$2:$L$2222,0))=0,"",INDEX(SearchDB!$F$2:$F$2222,MATCH(159,SearchDB!$L$2:$L$2222,0))),"")</f>
        <v/>
      </c>
      <c r="I164" s="23" t="str">
        <f aca="false">IFERROR(IF(INDEX(SearchDB!$G$2:$G$2222,MATCH(159,SearchDB!$L$2:$L$2222,0))=0,"",INDEX(SearchDB!$G$2:$G$2222,MATCH(159,SearchDB!$L$2:$L$2222,0))),"")</f>
        <v/>
      </c>
      <c r="J164" s="23" t="str">
        <f aca="false">IFERROR(IF(INDEX(SearchDB!$H$2:$H$2222,MATCH(159,SearchDB!$L$2:$L$2222,0))=0,"",INDEX(SearchDB!$H$2:$H$2222,MATCH(159,SearchDB!$L$2:$L$2222,0))),"")</f>
        <v/>
      </c>
      <c r="K164" s="24"/>
    </row>
    <row r="165" customFormat="false" ht="19.5" hidden="false" customHeight="true" outlineLevel="0" collapsed="false">
      <c r="A165" s="2"/>
      <c r="B165" s="25" t="n">
        <v>160</v>
      </c>
      <c r="C165" s="26" t="str">
        <f aca="false">IFERROR(INDEX(SearchDB!$A$2:$A$2222,MATCH(160,SearchDB!$L$2:$L$2222,0)),"")</f>
        <v/>
      </c>
      <c r="D165" s="26" t="str">
        <f aca="false">IFERROR(INDEX(SearchDB!$B$2:$B$2222,MATCH(160,SearchDB!$L$2:$L$2222,0)),"")</f>
        <v/>
      </c>
      <c r="E165" s="25" t="str">
        <f aca="false">IFERROR(INDEX(SearchDB!$C$2:$C$2222,MATCH(160,SearchDB!$L$2:$L$2222,0)),"")</f>
        <v/>
      </c>
      <c r="F165" s="26" t="str">
        <f aca="false">IFERROR(IF(INDEX(SearchDB!$D$2:$D$2222,MATCH(160,SearchDB!$L$2:$L$2222,0))=0,"",INDEX(SearchDB!$D$2:$D$2222,MATCH(160,SearchDB!$L$2:$L$2222,0))),"")</f>
        <v/>
      </c>
      <c r="G165" s="26" t="str">
        <f aca="false">IFERROR(IF(INDEX(SearchDB!$E$2:$E$2222,MATCH(160,SearchDB!$L$2:$L$2222,0))=0,"",INDEX(SearchDB!$E$2:$E$2222,MATCH(160,SearchDB!$L$2:$L$2222,0))),"")</f>
        <v/>
      </c>
      <c r="H165" s="26" t="str">
        <f aca="false">IFERROR(IF(INDEX(SearchDB!$F$2:$F$2222,MATCH(160,SearchDB!$L$2:$L$2222,0))=0,"",INDEX(SearchDB!$F$2:$F$2222,MATCH(160,SearchDB!$L$2:$L$2222,0))),"")</f>
        <v/>
      </c>
      <c r="I165" s="26" t="str">
        <f aca="false">IFERROR(IF(INDEX(SearchDB!$G$2:$G$2222,MATCH(160,SearchDB!$L$2:$L$2222,0))=0,"",INDEX(SearchDB!$G$2:$G$2222,MATCH(160,SearchDB!$L$2:$L$2222,0))),"")</f>
        <v/>
      </c>
      <c r="J165" s="26" t="str">
        <f aca="false">IFERROR(IF(INDEX(SearchDB!$H$2:$H$2222,MATCH(160,SearchDB!$L$2:$L$2222,0))=0,"",INDEX(SearchDB!$H$2:$H$2222,MATCH(160,SearchDB!$L$2:$L$2222,0))),"")</f>
        <v/>
      </c>
      <c r="K165" s="24"/>
    </row>
    <row r="166" customFormat="false" ht="19.5" hidden="false" customHeight="true" outlineLevel="0" collapsed="false">
      <c r="A166" s="2"/>
      <c r="B166" s="22" t="n">
        <v>161</v>
      </c>
      <c r="C166" s="23" t="str">
        <f aca="false">IFERROR(INDEX(SearchDB!$A$2:$A$2222,MATCH(161,SearchDB!$L$2:$L$2222,0)),"")</f>
        <v/>
      </c>
      <c r="D166" s="23" t="str">
        <f aca="false">IFERROR(INDEX(SearchDB!$B$2:$B$2222,MATCH(161,SearchDB!$L$2:$L$2222,0)),"")</f>
        <v/>
      </c>
      <c r="E166" s="22" t="str">
        <f aca="false">IFERROR(INDEX(SearchDB!$C$2:$C$2222,MATCH(161,SearchDB!$L$2:$L$2222,0)),"")</f>
        <v/>
      </c>
      <c r="F166" s="23" t="str">
        <f aca="false">IFERROR(IF(INDEX(SearchDB!$D$2:$D$2222,MATCH(161,SearchDB!$L$2:$L$2222,0))=0,"",INDEX(SearchDB!$D$2:$D$2222,MATCH(161,SearchDB!$L$2:$L$2222,0))),"")</f>
        <v/>
      </c>
      <c r="G166" s="23" t="str">
        <f aca="false">IFERROR(IF(INDEX(SearchDB!$E$2:$E$2222,MATCH(161,SearchDB!$L$2:$L$2222,0))=0,"",INDEX(SearchDB!$E$2:$E$2222,MATCH(161,SearchDB!$L$2:$L$2222,0))),"")</f>
        <v/>
      </c>
      <c r="H166" s="23" t="str">
        <f aca="false">IFERROR(IF(INDEX(SearchDB!$F$2:$F$2222,MATCH(161,SearchDB!$L$2:$L$2222,0))=0,"",INDEX(SearchDB!$F$2:$F$2222,MATCH(161,SearchDB!$L$2:$L$2222,0))),"")</f>
        <v/>
      </c>
      <c r="I166" s="23" t="str">
        <f aca="false">IFERROR(IF(INDEX(SearchDB!$G$2:$G$2222,MATCH(161,SearchDB!$L$2:$L$2222,0))=0,"",INDEX(SearchDB!$G$2:$G$2222,MATCH(161,SearchDB!$L$2:$L$2222,0))),"")</f>
        <v/>
      </c>
      <c r="J166" s="23" t="str">
        <f aca="false">IFERROR(IF(INDEX(SearchDB!$H$2:$H$2222,MATCH(161,SearchDB!$L$2:$L$2222,0))=0,"",INDEX(SearchDB!$H$2:$H$2222,MATCH(161,SearchDB!$L$2:$L$2222,0))),"")</f>
        <v/>
      </c>
      <c r="K166" s="24"/>
    </row>
    <row r="167" customFormat="false" ht="19.5" hidden="false" customHeight="true" outlineLevel="0" collapsed="false">
      <c r="A167" s="2"/>
      <c r="B167" s="25" t="n">
        <v>162</v>
      </c>
      <c r="C167" s="26" t="str">
        <f aca="false">IFERROR(INDEX(SearchDB!$A$2:$A$2222,MATCH(162,SearchDB!$L$2:$L$2222,0)),"")</f>
        <v/>
      </c>
      <c r="D167" s="26" t="str">
        <f aca="false">IFERROR(INDEX(SearchDB!$B$2:$B$2222,MATCH(162,SearchDB!$L$2:$L$2222,0)),"")</f>
        <v/>
      </c>
      <c r="E167" s="25" t="str">
        <f aca="false">IFERROR(INDEX(SearchDB!$C$2:$C$2222,MATCH(162,SearchDB!$L$2:$L$2222,0)),"")</f>
        <v/>
      </c>
      <c r="F167" s="26" t="str">
        <f aca="false">IFERROR(IF(INDEX(SearchDB!$D$2:$D$2222,MATCH(162,SearchDB!$L$2:$L$2222,0))=0,"",INDEX(SearchDB!$D$2:$D$2222,MATCH(162,SearchDB!$L$2:$L$2222,0))),"")</f>
        <v/>
      </c>
      <c r="G167" s="26" t="str">
        <f aca="false">IFERROR(IF(INDEX(SearchDB!$E$2:$E$2222,MATCH(162,SearchDB!$L$2:$L$2222,0))=0,"",INDEX(SearchDB!$E$2:$E$2222,MATCH(162,SearchDB!$L$2:$L$2222,0))),"")</f>
        <v/>
      </c>
      <c r="H167" s="26" t="str">
        <f aca="false">IFERROR(IF(INDEX(SearchDB!$F$2:$F$2222,MATCH(162,SearchDB!$L$2:$L$2222,0))=0,"",INDEX(SearchDB!$F$2:$F$2222,MATCH(162,SearchDB!$L$2:$L$2222,0))),"")</f>
        <v/>
      </c>
      <c r="I167" s="26" t="str">
        <f aca="false">IFERROR(IF(INDEX(SearchDB!$G$2:$G$2222,MATCH(162,SearchDB!$L$2:$L$2222,0))=0,"",INDEX(SearchDB!$G$2:$G$2222,MATCH(162,SearchDB!$L$2:$L$2222,0))),"")</f>
        <v/>
      </c>
      <c r="J167" s="26" t="str">
        <f aca="false">IFERROR(IF(INDEX(SearchDB!$H$2:$H$2222,MATCH(162,SearchDB!$L$2:$L$2222,0))=0,"",INDEX(SearchDB!$H$2:$H$2222,MATCH(162,SearchDB!$L$2:$L$2222,0))),"")</f>
        <v/>
      </c>
      <c r="K167" s="24"/>
    </row>
    <row r="168" customFormat="false" ht="19.5" hidden="false" customHeight="true" outlineLevel="0" collapsed="false">
      <c r="A168" s="2"/>
      <c r="B168" s="22" t="n">
        <v>163</v>
      </c>
      <c r="C168" s="23" t="str">
        <f aca="false">IFERROR(INDEX(SearchDB!$A$2:$A$2222,MATCH(163,SearchDB!$L$2:$L$2222,0)),"")</f>
        <v/>
      </c>
      <c r="D168" s="23" t="str">
        <f aca="false">IFERROR(INDEX(SearchDB!$B$2:$B$2222,MATCH(163,SearchDB!$L$2:$L$2222,0)),"")</f>
        <v/>
      </c>
      <c r="E168" s="22" t="str">
        <f aca="false">IFERROR(INDEX(SearchDB!$C$2:$C$2222,MATCH(163,SearchDB!$L$2:$L$2222,0)),"")</f>
        <v/>
      </c>
      <c r="F168" s="23" t="str">
        <f aca="false">IFERROR(IF(INDEX(SearchDB!$D$2:$D$2222,MATCH(163,SearchDB!$L$2:$L$2222,0))=0,"",INDEX(SearchDB!$D$2:$D$2222,MATCH(163,SearchDB!$L$2:$L$2222,0))),"")</f>
        <v/>
      </c>
      <c r="G168" s="23" t="str">
        <f aca="false">IFERROR(IF(INDEX(SearchDB!$E$2:$E$2222,MATCH(163,SearchDB!$L$2:$L$2222,0))=0,"",INDEX(SearchDB!$E$2:$E$2222,MATCH(163,SearchDB!$L$2:$L$2222,0))),"")</f>
        <v/>
      </c>
      <c r="H168" s="23" t="str">
        <f aca="false">IFERROR(IF(INDEX(SearchDB!$F$2:$F$2222,MATCH(163,SearchDB!$L$2:$L$2222,0))=0,"",INDEX(SearchDB!$F$2:$F$2222,MATCH(163,SearchDB!$L$2:$L$2222,0))),"")</f>
        <v/>
      </c>
      <c r="I168" s="23" t="str">
        <f aca="false">IFERROR(IF(INDEX(SearchDB!$G$2:$G$2222,MATCH(163,SearchDB!$L$2:$L$2222,0))=0,"",INDEX(SearchDB!$G$2:$G$2222,MATCH(163,SearchDB!$L$2:$L$2222,0))),"")</f>
        <v/>
      </c>
      <c r="J168" s="23" t="str">
        <f aca="false">IFERROR(IF(INDEX(SearchDB!$H$2:$H$2222,MATCH(163,SearchDB!$L$2:$L$2222,0))=0,"",INDEX(SearchDB!$H$2:$H$2222,MATCH(163,SearchDB!$L$2:$L$2222,0))),"")</f>
        <v/>
      </c>
      <c r="K168" s="24"/>
    </row>
    <row r="169" customFormat="false" ht="19.5" hidden="false" customHeight="true" outlineLevel="0" collapsed="false">
      <c r="A169" s="2"/>
      <c r="B169" s="25" t="n">
        <v>164</v>
      </c>
      <c r="C169" s="26" t="str">
        <f aca="false">IFERROR(INDEX(SearchDB!$A$2:$A$2222,MATCH(164,SearchDB!$L$2:$L$2222,0)),"")</f>
        <v/>
      </c>
      <c r="D169" s="26" t="str">
        <f aca="false">IFERROR(INDEX(SearchDB!$B$2:$B$2222,MATCH(164,SearchDB!$L$2:$L$2222,0)),"")</f>
        <v/>
      </c>
      <c r="E169" s="25" t="str">
        <f aca="false">IFERROR(INDEX(SearchDB!$C$2:$C$2222,MATCH(164,SearchDB!$L$2:$L$2222,0)),"")</f>
        <v/>
      </c>
      <c r="F169" s="26" t="str">
        <f aca="false">IFERROR(IF(INDEX(SearchDB!$D$2:$D$2222,MATCH(164,SearchDB!$L$2:$L$2222,0))=0,"",INDEX(SearchDB!$D$2:$D$2222,MATCH(164,SearchDB!$L$2:$L$2222,0))),"")</f>
        <v/>
      </c>
      <c r="G169" s="26" t="str">
        <f aca="false">IFERROR(IF(INDEX(SearchDB!$E$2:$E$2222,MATCH(164,SearchDB!$L$2:$L$2222,0))=0,"",INDEX(SearchDB!$E$2:$E$2222,MATCH(164,SearchDB!$L$2:$L$2222,0))),"")</f>
        <v/>
      </c>
      <c r="H169" s="26" t="str">
        <f aca="false">IFERROR(IF(INDEX(SearchDB!$F$2:$F$2222,MATCH(164,SearchDB!$L$2:$L$2222,0))=0,"",INDEX(SearchDB!$F$2:$F$2222,MATCH(164,SearchDB!$L$2:$L$2222,0))),"")</f>
        <v/>
      </c>
      <c r="I169" s="26" t="str">
        <f aca="false">IFERROR(IF(INDEX(SearchDB!$G$2:$G$2222,MATCH(164,SearchDB!$L$2:$L$2222,0))=0,"",INDEX(SearchDB!$G$2:$G$2222,MATCH(164,SearchDB!$L$2:$L$2222,0))),"")</f>
        <v/>
      </c>
      <c r="J169" s="26" t="str">
        <f aca="false">IFERROR(IF(INDEX(SearchDB!$H$2:$H$2222,MATCH(164,SearchDB!$L$2:$L$2222,0))=0,"",INDEX(SearchDB!$H$2:$H$2222,MATCH(164,SearchDB!$L$2:$L$2222,0))),"")</f>
        <v/>
      </c>
      <c r="K169" s="24"/>
    </row>
    <row r="170" customFormat="false" ht="19.5" hidden="false" customHeight="true" outlineLevel="0" collapsed="false">
      <c r="A170" s="2"/>
      <c r="B170" s="22" t="n">
        <v>165</v>
      </c>
      <c r="C170" s="23" t="str">
        <f aca="false">IFERROR(INDEX(SearchDB!$A$2:$A$2222,MATCH(165,SearchDB!$L$2:$L$2222,0)),"")</f>
        <v/>
      </c>
      <c r="D170" s="23" t="str">
        <f aca="false">IFERROR(INDEX(SearchDB!$B$2:$B$2222,MATCH(165,SearchDB!$L$2:$L$2222,0)),"")</f>
        <v/>
      </c>
      <c r="E170" s="22" t="str">
        <f aca="false">IFERROR(INDEX(SearchDB!$C$2:$C$2222,MATCH(165,SearchDB!$L$2:$L$2222,0)),"")</f>
        <v/>
      </c>
      <c r="F170" s="23" t="str">
        <f aca="false">IFERROR(IF(INDEX(SearchDB!$D$2:$D$2222,MATCH(165,SearchDB!$L$2:$L$2222,0))=0,"",INDEX(SearchDB!$D$2:$D$2222,MATCH(165,SearchDB!$L$2:$L$2222,0))),"")</f>
        <v/>
      </c>
      <c r="G170" s="23" t="str">
        <f aca="false">IFERROR(IF(INDEX(SearchDB!$E$2:$E$2222,MATCH(165,SearchDB!$L$2:$L$2222,0))=0,"",INDEX(SearchDB!$E$2:$E$2222,MATCH(165,SearchDB!$L$2:$L$2222,0))),"")</f>
        <v/>
      </c>
      <c r="H170" s="23" t="str">
        <f aca="false">IFERROR(IF(INDEX(SearchDB!$F$2:$F$2222,MATCH(165,SearchDB!$L$2:$L$2222,0))=0,"",INDEX(SearchDB!$F$2:$F$2222,MATCH(165,SearchDB!$L$2:$L$2222,0))),"")</f>
        <v/>
      </c>
      <c r="I170" s="23" t="str">
        <f aca="false">IFERROR(IF(INDEX(SearchDB!$G$2:$G$2222,MATCH(165,SearchDB!$L$2:$L$2222,0))=0,"",INDEX(SearchDB!$G$2:$G$2222,MATCH(165,SearchDB!$L$2:$L$2222,0))),"")</f>
        <v/>
      </c>
      <c r="J170" s="23" t="str">
        <f aca="false">IFERROR(IF(INDEX(SearchDB!$H$2:$H$2222,MATCH(165,SearchDB!$L$2:$L$2222,0))=0,"",INDEX(SearchDB!$H$2:$H$2222,MATCH(165,SearchDB!$L$2:$L$2222,0))),"")</f>
        <v/>
      </c>
      <c r="K170" s="24"/>
    </row>
    <row r="171" customFormat="false" ht="19.5" hidden="false" customHeight="true" outlineLevel="0" collapsed="false">
      <c r="A171" s="2"/>
      <c r="B171" s="25" t="n">
        <v>166</v>
      </c>
      <c r="C171" s="26" t="str">
        <f aca="false">IFERROR(INDEX(SearchDB!$A$2:$A$2222,MATCH(166,SearchDB!$L$2:$L$2222,0)),"")</f>
        <v/>
      </c>
      <c r="D171" s="26" t="str">
        <f aca="false">IFERROR(INDEX(SearchDB!$B$2:$B$2222,MATCH(166,SearchDB!$L$2:$L$2222,0)),"")</f>
        <v/>
      </c>
      <c r="E171" s="25" t="str">
        <f aca="false">IFERROR(INDEX(SearchDB!$C$2:$C$2222,MATCH(166,SearchDB!$L$2:$L$2222,0)),"")</f>
        <v/>
      </c>
      <c r="F171" s="26" t="str">
        <f aca="false">IFERROR(IF(INDEX(SearchDB!$D$2:$D$2222,MATCH(166,SearchDB!$L$2:$L$2222,0))=0,"",INDEX(SearchDB!$D$2:$D$2222,MATCH(166,SearchDB!$L$2:$L$2222,0))),"")</f>
        <v/>
      </c>
      <c r="G171" s="26" t="str">
        <f aca="false">IFERROR(IF(INDEX(SearchDB!$E$2:$E$2222,MATCH(166,SearchDB!$L$2:$L$2222,0))=0,"",INDEX(SearchDB!$E$2:$E$2222,MATCH(166,SearchDB!$L$2:$L$2222,0))),"")</f>
        <v/>
      </c>
      <c r="H171" s="26" t="str">
        <f aca="false">IFERROR(IF(INDEX(SearchDB!$F$2:$F$2222,MATCH(166,SearchDB!$L$2:$L$2222,0))=0,"",INDEX(SearchDB!$F$2:$F$2222,MATCH(166,SearchDB!$L$2:$L$2222,0))),"")</f>
        <v/>
      </c>
      <c r="I171" s="26" t="str">
        <f aca="false">IFERROR(IF(INDEX(SearchDB!$G$2:$G$2222,MATCH(166,SearchDB!$L$2:$L$2222,0))=0,"",INDEX(SearchDB!$G$2:$G$2222,MATCH(166,SearchDB!$L$2:$L$2222,0))),"")</f>
        <v/>
      </c>
      <c r="J171" s="26" t="str">
        <f aca="false">IFERROR(IF(INDEX(SearchDB!$H$2:$H$2222,MATCH(166,SearchDB!$L$2:$L$2222,0))=0,"",INDEX(SearchDB!$H$2:$H$2222,MATCH(166,SearchDB!$L$2:$L$2222,0))),"")</f>
        <v/>
      </c>
      <c r="K171" s="24"/>
    </row>
    <row r="172" customFormat="false" ht="19.5" hidden="false" customHeight="true" outlineLevel="0" collapsed="false">
      <c r="A172" s="2"/>
      <c r="B172" s="22" t="n">
        <v>167</v>
      </c>
      <c r="C172" s="23" t="str">
        <f aca="false">IFERROR(INDEX(SearchDB!$A$2:$A$2222,MATCH(167,SearchDB!$L$2:$L$2222,0)),"")</f>
        <v/>
      </c>
      <c r="D172" s="23" t="str">
        <f aca="false">IFERROR(INDEX(SearchDB!$B$2:$B$2222,MATCH(167,SearchDB!$L$2:$L$2222,0)),"")</f>
        <v/>
      </c>
      <c r="E172" s="22" t="str">
        <f aca="false">IFERROR(INDEX(SearchDB!$C$2:$C$2222,MATCH(167,SearchDB!$L$2:$L$2222,0)),"")</f>
        <v/>
      </c>
      <c r="F172" s="23" t="str">
        <f aca="false">IFERROR(IF(INDEX(SearchDB!$D$2:$D$2222,MATCH(167,SearchDB!$L$2:$L$2222,0))=0,"",INDEX(SearchDB!$D$2:$D$2222,MATCH(167,SearchDB!$L$2:$L$2222,0))),"")</f>
        <v/>
      </c>
      <c r="G172" s="23" t="str">
        <f aca="false">IFERROR(IF(INDEX(SearchDB!$E$2:$E$2222,MATCH(167,SearchDB!$L$2:$L$2222,0))=0,"",INDEX(SearchDB!$E$2:$E$2222,MATCH(167,SearchDB!$L$2:$L$2222,0))),"")</f>
        <v/>
      </c>
      <c r="H172" s="23" t="str">
        <f aca="false">IFERROR(IF(INDEX(SearchDB!$F$2:$F$2222,MATCH(167,SearchDB!$L$2:$L$2222,0))=0,"",INDEX(SearchDB!$F$2:$F$2222,MATCH(167,SearchDB!$L$2:$L$2222,0))),"")</f>
        <v/>
      </c>
      <c r="I172" s="23" t="str">
        <f aca="false">IFERROR(IF(INDEX(SearchDB!$G$2:$G$2222,MATCH(167,SearchDB!$L$2:$L$2222,0))=0,"",INDEX(SearchDB!$G$2:$G$2222,MATCH(167,SearchDB!$L$2:$L$2222,0))),"")</f>
        <v/>
      </c>
      <c r="J172" s="23" t="str">
        <f aca="false">IFERROR(IF(INDEX(SearchDB!$H$2:$H$2222,MATCH(167,SearchDB!$L$2:$L$2222,0))=0,"",INDEX(SearchDB!$H$2:$H$2222,MATCH(167,SearchDB!$L$2:$L$2222,0))),"")</f>
        <v/>
      </c>
      <c r="K172" s="24"/>
    </row>
    <row r="173" customFormat="false" ht="19.5" hidden="false" customHeight="true" outlineLevel="0" collapsed="false">
      <c r="A173" s="2"/>
      <c r="B173" s="25" t="n">
        <v>168</v>
      </c>
      <c r="C173" s="26" t="str">
        <f aca="false">IFERROR(INDEX(SearchDB!$A$2:$A$2222,MATCH(168,SearchDB!$L$2:$L$2222,0)),"")</f>
        <v/>
      </c>
      <c r="D173" s="26" t="str">
        <f aca="false">IFERROR(INDEX(SearchDB!$B$2:$B$2222,MATCH(168,SearchDB!$L$2:$L$2222,0)),"")</f>
        <v/>
      </c>
      <c r="E173" s="25" t="str">
        <f aca="false">IFERROR(INDEX(SearchDB!$C$2:$C$2222,MATCH(168,SearchDB!$L$2:$L$2222,0)),"")</f>
        <v/>
      </c>
      <c r="F173" s="26" t="str">
        <f aca="false">IFERROR(IF(INDEX(SearchDB!$D$2:$D$2222,MATCH(168,SearchDB!$L$2:$L$2222,0))=0,"",INDEX(SearchDB!$D$2:$D$2222,MATCH(168,SearchDB!$L$2:$L$2222,0))),"")</f>
        <v/>
      </c>
      <c r="G173" s="26" t="str">
        <f aca="false">IFERROR(IF(INDEX(SearchDB!$E$2:$E$2222,MATCH(168,SearchDB!$L$2:$L$2222,0))=0,"",INDEX(SearchDB!$E$2:$E$2222,MATCH(168,SearchDB!$L$2:$L$2222,0))),"")</f>
        <v/>
      </c>
      <c r="H173" s="26" t="str">
        <f aca="false">IFERROR(IF(INDEX(SearchDB!$F$2:$F$2222,MATCH(168,SearchDB!$L$2:$L$2222,0))=0,"",INDEX(SearchDB!$F$2:$F$2222,MATCH(168,SearchDB!$L$2:$L$2222,0))),"")</f>
        <v/>
      </c>
      <c r="I173" s="26" t="str">
        <f aca="false">IFERROR(IF(INDEX(SearchDB!$G$2:$G$2222,MATCH(168,SearchDB!$L$2:$L$2222,0))=0,"",INDEX(SearchDB!$G$2:$G$2222,MATCH(168,SearchDB!$L$2:$L$2222,0))),"")</f>
        <v/>
      </c>
      <c r="J173" s="26" t="str">
        <f aca="false">IFERROR(IF(INDEX(SearchDB!$H$2:$H$2222,MATCH(168,SearchDB!$L$2:$L$2222,0))=0,"",INDEX(SearchDB!$H$2:$H$2222,MATCH(168,SearchDB!$L$2:$L$2222,0))),"")</f>
        <v/>
      </c>
      <c r="K173" s="24"/>
    </row>
    <row r="174" customFormat="false" ht="19.5" hidden="false" customHeight="true" outlineLevel="0" collapsed="false">
      <c r="A174" s="2"/>
      <c r="B174" s="22" t="n">
        <v>169</v>
      </c>
      <c r="C174" s="23" t="str">
        <f aca="false">IFERROR(INDEX(SearchDB!$A$2:$A$2222,MATCH(169,SearchDB!$L$2:$L$2222,0)),"")</f>
        <v/>
      </c>
      <c r="D174" s="23" t="str">
        <f aca="false">IFERROR(INDEX(SearchDB!$B$2:$B$2222,MATCH(169,SearchDB!$L$2:$L$2222,0)),"")</f>
        <v/>
      </c>
      <c r="E174" s="22" t="str">
        <f aca="false">IFERROR(INDEX(SearchDB!$C$2:$C$2222,MATCH(169,SearchDB!$L$2:$L$2222,0)),"")</f>
        <v/>
      </c>
      <c r="F174" s="23" t="str">
        <f aca="false">IFERROR(IF(INDEX(SearchDB!$D$2:$D$2222,MATCH(169,SearchDB!$L$2:$L$2222,0))=0,"",INDEX(SearchDB!$D$2:$D$2222,MATCH(169,SearchDB!$L$2:$L$2222,0))),"")</f>
        <v/>
      </c>
      <c r="G174" s="23" t="str">
        <f aca="false">IFERROR(IF(INDEX(SearchDB!$E$2:$E$2222,MATCH(169,SearchDB!$L$2:$L$2222,0))=0,"",INDEX(SearchDB!$E$2:$E$2222,MATCH(169,SearchDB!$L$2:$L$2222,0))),"")</f>
        <v/>
      </c>
      <c r="H174" s="23" t="str">
        <f aca="false">IFERROR(IF(INDEX(SearchDB!$F$2:$F$2222,MATCH(169,SearchDB!$L$2:$L$2222,0))=0,"",INDEX(SearchDB!$F$2:$F$2222,MATCH(169,SearchDB!$L$2:$L$2222,0))),"")</f>
        <v/>
      </c>
      <c r="I174" s="23" t="str">
        <f aca="false">IFERROR(IF(INDEX(SearchDB!$G$2:$G$2222,MATCH(169,SearchDB!$L$2:$L$2222,0))=0,"",INDEX(SearchDB!$G$2:$G$2222,MATCH(169,SearchDB!$L$2:$L$2222,0))),"")</f>
        <v/>
      </c>
      <c r="J174" s="23" t="str">
        <f aca="false">IFERROR(IF(INDEX(SearchDB!$H$2:$H$2222,MATCH(169,SearchDB!$L$2:$L$2222,0))=0,"",INDEX(SearchDB!$H$2:$H$2222,MATCH(169,SearchDB!$L$2:$L$2222,0))),"")</f>
        <v/>
      </c>
      <c r="K174" s="24"/>
    </row>
    <row r="175" customFormat="false" ht="19.5" hidden="false" customHeight="true" outlineLevel="0" collapsed="false">
      <c r="A175" s="2"/>
      <c r="B175" s="25" t="n">
        <v>170</v>
      </c>
      <c r="C175" s="26" t="str">
        <f aca="false">IFERROR(INDEX(SearchDB!$A$2:$A$2222,MATCH(170,SearchDB!$L$2:$L$2222,0)),"")</f>
        <v/>
      </c>
      <c r="D175" s="26" t="str">
        <f aca="false">IFERROR(INDEX(SearchDB!$B$2:$B$2222,MATCH(170,SearchDB!$L$2:$L$2222,0)),"")</f>
        <v/>
      </c>
      <c r="E175" s="25" t="str">
        <f aca="false">IFERROR(INDEX(SearchDB!$C$2:$C$2222,MATCH(170,SearchDB!$L$2:$L$2222,0)),"")</f>
        <v/>
      </c>
      <c r="F175" s="26" t="str">
        <f aca="false">IFERROR(IF(INDEX(SearchDB!$D$2:$D$2222,MATCH(170,SearchDB!$L$2:$L$2222,0))=0,"",INDEX(SearchDB!$D$2:$D$2222,MATCH(170,SearchDB!$L$2:$L$2222,0))),"")</f>
        <v/>
      </c>
      <c r="G175" s="26" t="str">
        <f aca="false">IFERROR(IF(INDEX(SearchDB!$E$2:$E$2222,MATCH(170,SearchDB!$L$2:$L$2222,0))=0,"",INDEX(SearchDB!$E$2:$E$2222,MATCH(170,SearchDB!$L$2:$L$2222,0))),"")</f>
        <v/>
      </c>
      <c r="H175" s="26" t="str">
        <f aca="false">IFERROR(IF(INDEX(SearchDB!$F$2:$F$2222,MATCH(170,SearchDB!$L$2:$L$2222,0))=0,"",INDEX(SearchDB!$F$2:$F$2222,MATCH(170,SearchDB!$L$2:$L$2222,0))),"")</f>
        <v/>
      </c>
      <c r="I175" s="26" t="str">
        <f aca="false">IFERROR(IF(INDEX(SearchDB!$G$2:$G$2222,MATCH(170,SearchDB!$L$2:$L$2222,0))=0,"",INDEX(SearchDB!$G$2:$G$2222,MATCH(170,SearchDB!$L$2:$L$2222,0))),"")</f>
        <v/>
      </c>
      <c r="J175" s="26" t="str">
        <f aca="false">IFERROR(IF(INDEX(SearchDB!$H$2:$H$2222,MATCH(170,SearchDB!$L$2:$L$2222,0))=0,"",INDEX(SearchDB!$H$2:$H$2222,MATCH(170,SearchDB!$L$2:$L$2222,0))),"")</f>
        <v/>
      </c>
      <c r="K175" s="24"/>
    </row>
    <row r="176" customFormat="false" ht="19.5" hidden="false" customHeight="true" outlineLevel="0" collapsed="false">
      <c r="A176" s="2"/>
      <c r="B176" s="22" t="n">
        <v>171</v>
      </c>
      <c r="C176" s="23" t="str">
        <f aca="false">IFERROR(INDEX(SearchDB!$A$2:$A$2222,MATCH(171,SearchDB!$L$2:$L$2222,0)),"")</f>
        <v/>
      </c>
      <c r="D176" s="23" t="str">
        <f aca="false">IFERROR(INDEX(SearchDB!$B$2:$B$2222,MATCH(171,SearchDB!$L$2:$L$2222,0)),"")</f>
        <v/>
      </c>
      <c r="E176" s="22" t="str">
        <f aca="false">IFERROR(INDEX(SearchDB!$C$2:$C$2222,MATCH(171,SearchDB!$L$2:$L$2222,0)),"")</f>
        <v/>
      </c>
      <c r="F176" s="23" t="str">
        <f aca="false">IFERROR(IF(INDEX(SearchDB!$D$2:$D$2222,MATCH(171,SearchDB!$L$2:$L$2222,0))=0,"",INDEX(SearchDB!$D$2:$D$2222,MATCH(171,SearchDB!$L$2:$L$2222,0))),"")</f>
        <v/>
      </c>
      <c r="G176" s="23" t="str">
        <f aca="false">IFERROR(IF(INDEX(SearchDB!$E$2:$E$2222,MATCH(171,SearchDB!$L$2:$L$2222,0))=0,"",INDEX(SearchDB!$E$2:$E$2222,MATCH(171,SearchDB!$L$2:$L$2222,0))),"")</f>
        <v/>
      </c>
      <c r="H176" s="23" t="str">
        <f aca="false">IFERROR(IF(INDEX(SearchDB!$F$2:$F$2222,MATCH(171,SearchDB!$L$2:$L$2222,0))=0,"",INDEX(SearchDB!$F$2:$F$2222,MATCH(171,SearchDB!$L$2:$L$2222,0))),"")</f>
        <v/>
      </c>
      <c r="I176" s="23" t="str">
        <f aca="false">IFERROR(IF(INDEX(SearchDB!$G$2:$G$2222,MATCH(171,SearchDB!$L$2:$L$2222,0))=0,"",INDEX(SearchDB!$G$2:$G$2222,MATCH(171,SearchDB!$L$2:$L$2222,0))),"")</f>
        <v/>
      </c>
      <c r="J176" s="23" t="str">
        <f aca="false">IFERROR(IF(INDEX(SearchDB!$H$2:$H$2222,MATCH(171,SearchDB!$L$2:$L$2222,0))=0,"",INDEX(SearchDB!$H$2:$H$2222,MATCH(171,SearchDB!$L$2:$L$2222,0))),"")</f>
        <v/>
      </c>
      <c r="K176" s="24"/>
    </row>
    <row r="177" customFormat="false" ht="19.5" hidden="false" customHeight="true" outlineLevel="0" collapsed="false">
      <c r="A177" s="2"/>
      <c r="B177" s="25" t="n">
        <v>172</v>
      </c>
      <c r="C177" s="26" t="str">
        <f aca="false">IFERROR(INDEX(SearchDB!$A$2:$A$2222,MATCH(172,SearchDB!$L$2:$L$2222,0)),"")</f>
        <v/>
      </c>
      <c r="D177" s="26" t="str">
        <f aca="false">IFERROR(INDEX(SearchDB!$B$2:$B$2222,MATCH(172,SearchDB!$L$2:$L$2222,0)),"")</f>
        <v/>
      </c>
      <c r="E177" s="25" t="str">
        <f aca="false">IFERROR(INDEX(SearchDB!$C$2:$C$2222,MATCH(172,SearchDB!$L$2:$L$2222,0)),"")</f>
        <v/>
      </c>
      <c r="F177" s="26" t="str">
        <f aca="false">IFERROR(IF(INDEX(SearchDB!$D$2:$D$2222,MATCH(172,SearchDB!$L$2:$L$2222,0))=0,"",INDEX(SearchDB!$D$2:$D$2222,MATCH(172,SearchDB!$L$2:$L$2222,0))),"")</f>
        <v/>
      </c>
      <c r="G177" s="26" t="str">
        <f aca="false">IFERROR(IF(INDEX(SearchDB!$E$2:$E$2222,MATCH(172,SearchDB!$L$2:$L$2222,0))=0,"",INDEX(SearchDB!$E$2:$E$2222,MATCH(172,SearchDB!$L$2:$L$2222,0))),"")</f>
        <v/>
      </c>
      <c r="H177" s="26" t="str">
        <f aca="false">IFERROR(IF(INDEX(SearchDB!$F$2:$F$2222,MATCH(172,SearchDB!$L$2:$L$2222,0))=0,"",INDEX(SearchDB!$F$2:$F$2222,MATCH(172,SearchDB!$L$2:$L$2222,0))),"")</f>
        <v/>
      </c>
      <c r="I177" s="26" t="str">
        <f aca="false">IFERROR(IF(INDEX(SearchDB!$G$2:$G$2222,MATCH(172,SearchDB!$L$2:$L$2222,0))=0,"",INDEX(SearchDB!$G$2:$G$2222,MATCH(172,SearchDB!$L$2:$L$2222,0))),"")</f>
        <v/>
      </c>
      <c r="J177" s="26" t="str">
        <f aca="false">IFERROR(IF(INDEX(SearchDB!$H$2:$H$2222,MATCH(172,SearchDB!$L$2:$L$2222,0))=0,"",INDEX(SearchDB!$H$2:$H$2222,MATCH(172,SearchDB!$L$2:$L$2222,0))),"")</f>
        <v/>
      </c>
      <c r="K177" s="24"/>
    </row>
    <row r="178" customFormat="false" ht="19.5" hidden="false" customHeight="true" outlineLevel="0" collapsed="false">
      <c r="A178" s="2"/>
      <c r="B178" s="22" t="n">
        <v>173</v>
      </c>
      <c r="C178" s="23" t="str">
        <f aca="false">IFERROR(INDEX(SearchDB!$A$2:$A$2222,MATCH(173,SearchDB!$L$2:$L$2222,0)),"")</f>
        <v/>
      </c>
      <c r="D178" s="23" t="str">
        <f aca="false">IFERROR(INDEX(SearchDB!$B$2:$B$2222,MATCH(173,SearchDB!$L$2:$L$2222,0)),"")</f>
        <v/>
      </c>
      <c r="E178" s="22" t="str">
        <f aca="false">IFERROR(INDEX(SearchDB!$C$2:$C$2222,MATCH(173,SearchDB!$L$2:$L$2222,0)),"")</f>
        <v/>
      </c>
      <c r="F178" s="23" t="str">
        <f aca="false">IFERROR(IF(INDEX(SearchDB!$D$2:$D$2222,MATCH(173,SearchDB!$L$2:$L$2222,0))=0,"",INDEX(SearchDB!$D$2:$D$2222,MATCH(173,SearchDB!$L$2:$L$2222,0))),"")</f>
        <v/>
      </c>
      <c r="G178" s="23" t="str">
        <f aca="false">IFERROR(IF(INDEX(SearchDB!$E$2:$E$2222,MATCH(173,SearchDB!$L$2:$L$2222,0))=0,"",INDEX(SearchDB!$E$2:$E$2222,MATCH(173,SearchDB!$L$2:$L$2222,0))),"")</f>
        <v/>
      </c>
      <c r="H178" s="23" t="str">
        <f aca="false">IFERROR(IF(INDEX(SearchDB!$F$2:$F$2222,MATCH(173,SearchDB!$L$2:$L$2222,0))=0,"",INDEX(SearchDB!$F$2:$F$2222,MATCH(173,SearchDB!$L$2:$L$2222,0))),"")</f>
        <v/>
      </c>
      <c r="I178" s="23" t="str">
        <f aca="false">IFERROR(IF(INDEX(SearchDB!$G$2:$G$2222,MATCH(173,SearchDB!$L$2:$L$2222,0))=0,"",INDEX(SearchDB!$G$2:$G$2222,MATCH(173,SearchDB!$L$2:$L$2222,0))),"")</f>
        <v/>
      </c>
      <c r="J178" s="23" t="str">
        <f aca="false">IFERROR(IF(INDEX(SearchDB!$H$2:$H$2222,MATCH(173,SearchDB!$L$2:$L$2222,0))=0,"",INDEX(SearchDB!$H$2:$H$2222,MATCH(173,SearchDB!$L$2:$L$2222,0))),"")</f>
        <v/>
      </c>
      <c r="K178" s="24"/>
    </row>
    <row r="179" customFormat="false" ht="19.5" hidden="false" customHeight="true" outlineLevel="0" collapsed="false">
      <c r="A179" s="2"/>
      <c r="B179" s="25" t="n">
        <v>174</v>
      </c>
      <c r="C179" s="26" t="str">
        <f aca="false">IFERROR(INDEX(SearchDB!$A$2:$A$2222,MATCH(174,SearchDB!$L$2:$L$2222,0)),"")</f>
        <v/>
      </c>
      <c r="D179" s="26" t="str">
        <f aca="false">IFERROR(INDEX(SearchDB!$B$2:$B$2222,MATCH(174,SearchDB!$L$2:$L$2222,0)),"")</f>
        <v/>
      </c>
      <c r="E179" s="25" t="str">
        <f aca="false">IFERROR(INDEX(SearchDB!$C$2:$C$2222,MATCH(174,SearchDB!$L$2:$L$2222,0)),"")</f>
        <v/>
      </c>
      <c r="F179" s="26" t="str">
        <f aca="false">IFERROR(IF(INDEX(SearchDB!$D$2:$D$2222,MATCH(174,SearchDB!$L$2:$L$2222,0))=0,"",INDEX(SearchDB!$D$2:$D$2222,MATCH(174,SearchDB!$L$2:$L$2222,0))),"")</f>
        <v/>
      </c>
      <c r="G179" s="26" t="str">
        <f aca="false">IFERROR(IF(INDEX(SearchDB!$E$2:$E$2222,MATCH(174,SearchDB!$L$2:$L$2222,0))=0,"",INDEX(SearchDB!$E$2:$E$2222,MATCH(174,SearchDB!$L$2:$L$2222,0))),"")</f>
        <v/>
      </c>
      <c r="H179" s="26" t="str">
        <f aca="false">IFERROR(IF(INDEX(SearchDB!$F$2:$F$2222,MATCH(174,SearchDB!$L$2:$L$2222,0))=0,"",INDEX(SearchDB!$F$2:$F$2222,MATCH(174,SearchDB!$L$2:$L$2222,0))),"")</f>
        <v/>
      </c>
      <c r="I179" s="26" t="str">
        <f aca="false">IFERROR(IF(INDEX(SearchDB!$G$2:$G$2222,MATCH(174,SearchDB!$L$2:$L$2222,0))=0,"",INDEX(SearchDB!$G$2:$G$2222,MATCH(174,SearchDB!$L$2:$L$2222,0))),"")</f>
        <v/>
      </c>
      <c r="J179" s="26" t="str">
        <f aca="false">IFERROR(IF(INDEX(SearchDB!$H$2:$H$2222,MATCH(174,SearchDB!$L$2:$L$2222,0))=0,"",INDEX(SearchDB!$H$2:$H$2222,MATCH(174,SearchDB!$L$2:$L$2222,0))),"")</f>
        <v/>
      </c>
      <c r="K179" s="24"/>
    </row>
    <row r="180" customFormat="false" ht="19.5" hidden="false" customHeight="true" outlineLevel="0" collapsed="false">
      <c r="A180" s="2"/>
      <c r="B180" s="22" t="n">
        <v>175</v>
      </c>
      <c r="C180" s="23" t="str">
        <f aca="false">IFERROR(INDEX(SearchDB!$A$2:$A$2222,MATCH(175,SearchDB!$L$2:$L$2222,0)),"")</f>
        <v/>
      </c>
      <c r="D180" s="23" t="str">
        <f aca="false">IFERROR(INDEX(SearchDB!$B$2:$B$2222,MATCH(175,SearchDB!$L$2:$L$2222,0)),"")</f>
        <v/>
      </c>
      <c r="E180" s="22" t="str">
        <f aca="false">IFERROR(INDEX(SearchDB!$C$2:$C$2222,MATCH(175,SearchDB!$L$2:$L$2222,0)),"")</f>
        <v/>
      </c>
      <c r="F180" s="23" t="str">
        <f aca="false">IFERROR(IF(INDEX(SearchDB!$D$2:$D$2222,MATCH(175,SearchDB!$L$2:$L$2222,0))=0,"",INDEX(SearchDB!$D$2:$D$2222,MATCH(175,SearchDB!$L$2:$L$2222,0))),"")</f>
        <v/>
      </c>
      <c r="G180" s="23" t="str">
        <f aca="false">IFERROR(IF(INDEX(SearchDB!$E$2:$E$2222,MATCH(175,SearchDB!$L$2:$L$2222,0))=0,"",INDEX(SearchDB!$E$2:$E$2222,MATCH(175,SearchDB!$L$2:$L$2222,0))),"")</f>
        <v/>
      </c>
      <c r="H180" s="23" t="str">
        <f aca="false">IFERROR(IF(INDEX(SearchDB!$F$2:$F$2222,MATCH(175,SearchDB!$L$2:$L$2222,0))=0,"",INDEX(SearchDB!$F$2:$F$2222,MATCH(175,SearchDB!$L$2:$L$2222,0))),"")</f>
        <v/>
      </c>
      <c r="I180" s="23" t="str">
        <f aca="false">IFERROR(IF(INDEX(SearchDB!$G$2:$G$2222,MATCH(175,SearchDB!$L$2:$L$2222,0))=0,"",INDEX(SearchDB!$G$2:$G$2222,MATCH(175,SearchDB!$L$2:$L$2222,0))),"")</f>
        <v/>
      </c>
      <c r="J180" s="23" t="str">
        <f aca="false">IFERROR(IF(INDEX(SearchDB!$H$2:$H$2222,MATCH(175,SearchDB!$L$2:$L$2222,0))=0,"",INDEX(SearchDB!$H$2:$H$2222,MATCH(175,SearchDB!$L$2:$L$2222,0))),"")</f>
        <v/>
      </c>
      <c r="K180" s="24"/>
    </row>
    <row r="181" customFormat="false" ht="19.5" hidden="false" customHeight="true" outlineLevel="0" collapsed="false">
      <c r="A181" s="2"/>
      <c r="B181" s="25" t="n">
        <v>176</v>
      </c>
      <c r="C181" s="26" t="str">
        <f aca="false">IFERROR(INDEX(SearchDB!$A$2:$A$2222,MATCH(176,SearchDB!$L$2:$L$2222,0)),"")</f>
        <v/>
      </c>
      <c r="D181" s="26" t="str">
        <f aca="false">IFERROR(INDEX(SearchDB!$B$2:$B$2222,MATCH(176,SearchDB!$L$2:$L$2222,0)),"")</f>
        <v/>
      </c>
      <c r="E181" s="25" t="str">
        <f aca="false">IFERROR(INDEX(SearchDB!$C$2:$C$2222,MATCH(176,SearchDB!$L$2:$L$2222,0)),"")</f>
        <v/>
      </c>
      <c r="F181" s="26" t="str">
        <f aca="false">IFERROR(IF(INDEX(SearchDB!$D$2:$D$2222,MATCH(176,SearchDB!$L$2:$L$2222,0))=0,"",INDEX(SearchDB!$D$2:$D$2222,MATCH(176,SearchDB!$L$2:$L$2222,0))),"")</f>
        <v/>
      </c>
      <c r="G181" s="26" t="str">
        <f aca="false">IFERROR(IF(INDEX(SearchDB!$E$2:$E$2222,MATCH(176,SearchDB!$L$2:$L$2222,0))=0,"",INDEX(SearchDB!$E$2:$E$2222,MATCH(176,SearchDB!$L$2:$L$2222,0))),"")</f>
        <v/>
      </c>
      <c r="H181" s="26" t="str">
        <f aca="false">IFERROR(IF(INDEX(SearchDB!$F$2:$F$2222,MATCH(176,SearchDB!$L$2:$L$2222,0))=0,"",INDEX(SearchDB!$F$2:$F$2222,MATCH(176,SearchDB!$L$2:$L$2222,0))),"")</f>
        <v/>
      </c>
      <c r="I181" s="26" t="str">
        <f aca="false">IFERROR(IF(INDEX(SearchDB!$G$2:$G$2222,MATCH(176,SearchDB!$L$2:$L$2222,0))=0,"",INDEX(SearchDB!$G$2:$G$2222,MATCH(176,SearchDB!$L$2:$L$2222,0))),"")</f>
        <v/>
      </c>
      <c r="J181" s="26" t="str">
        <f aca="false">IFERROR(IF(INDEX(SearchDB!$H$2:$H$2222,MATCH(176,SearchDB!$L$2:$L$2222,0))=0,"",INDEX(SearchDB!$H$2:$H$2222,MATCH(176,SearchDB!$L$2:$L$2222,0))),"")</f>
        <v/>
      </c>
      <c r="K181" s="24"/>
    </row>
    <row r="182" customFormat="false" ht="19.5" hidden="false" customHeight="true" outlineLevel="0" collapsed="false">
      <c r="A182" s="2"/>
      <c r="B182" s="22" t="n">
        <v>177</v>
      </c>
      <c r="C182" s="23" t="str">
        <f aca="false">IFERROR(INDEX(SearchDB!$A$2:$A$2222,MATCH(177,SearchDB!$L$2:$L$2222,0)),"")</f>
        <v/>
      </c>
      <c r="D182" s="23" t="str">
        <f aca="false">IFERROR(INDEX(SearchDB!$B$2:$B$2222,MATCH(177,SearchDB!$L$2:$L$2222,0)),"")</f>
        <v/>
      </c>
      <c r="E182" s="22" t="str">
        <f aca="false">IFERROR(INDEX(SearchDB!$C$2:$C$2222,MATCH(177,SearchDB!$L$2:$L$2222,0)),"")</f>
        <v/>
      </c>
      <c r="F182" s="23" t="str">
        <f aca="false">IFERROR(IF(INDEX(SearchDB!$D$2:$D$2222,MATCH(177,SearchDB!$L$2:$L$2222,0))=0,"",INDEX(SearchDB!$D$2:$D$2222,MATCH(177,SearchDB!$L$2:$L$2222,0))),"")</f>
        <v/>
      </c>
      <c r="G182" s="23" t="str">
        <f aca="false">IFERROR(IF(INDEX(SearchDB!$E$2:$E$2222,MATCH(177,SearchDB!$L$2:$L$2222,0))=0,"",INDEX(SearchDB!$E$2:$E$2222,MATCH(177,SearchDB!$L$2:$L$2222,0))),"")</f>
        <v/>
      </c>
      <c r="H182" s="23" t="str">
        <f aca="false">IFERROR(IF(INDEX(SearchDB!$F$2:$F$2222,MATCH(177,SearchDB!$L$2:$L$2222,0))=0,"",INDEX(SearchDB!$F$2:$F$2222,MATCH(177,SearchDB!$L$2:$L$2222,0))),"")</f>
        <v/>
      </c>
      <c r="I182" s="23" t="str">
        <f aca="false">IFERROR(IF(INDEX(SearchDB!$G$2:$G$2222,MATCH(177,SearchDB!$L$2:$L$2222,0))=0,"",INDEX(SearchDB!$G$2:$G$2222,MATCH(177,SearchDB!$L$2:$L$2222,0))),"")</f>
        <v/>
      </c>
      <c r="J182" s="23" t="str">
        <f aca="false">IFERROR(IF(INDEX(SearchDB!$H$2:$H$2222,MATCH(177,SearchDB!$L$2:$L$2222,0))=0,"",INDEX(SearchDB!$H$2:$H$2222,MATCH(177,SearchDB!$L$2:$L$2222,0))),"")</f>
        <v/>
      </c>
      <c r="K182" s="24"/>
    </row>
    <row r="183" customFormat="false" ht="19.5" hidden="false" customHeight="true" outlineLevel="0" collapsed="false">
      <c r="A183" s="2"/>
      <c r="B183" s="25" t="n">
        <v>178</v>
      </c>
      <c r="C183" s="26" t="str">
        <f aca="false">IFERROR(INDEX(SearchDB!$A$2:$A$2222,MATCH(178,SearchDB!$L$2:$L$2222,0)),"")</f>
        <v/>
      </c>
      <c r="D183" s="26" t="str">
        <f aca="false">IFERROR(INDEX(SearchDB!$B$2:$B$2222,MATCH(178,SearchDB!$L$2:$L$2222,0)),"")</f>
        <v/>
      </c>
      <c r="E183" s="25" t="str">
        <f aca="false">IFERROR(INDEX(SearchDB!$C$2:$C$2222,MATCH(178,SearchDB!$L$2:$L$2222,0)),"")</f>
        <v/>
      </c>
      <c r="F183" s="26" t="str">
        <f aca="false">IFERROR(IF(INDEX(SearchDB!$D$2:$D$2222,MATCH(178,SearchDB!$L$2:$L$2222,0))=0,"",INDEX(SearchDB!$D$2:$D$2222,MATCH(178,SearchDB!$L$2:$L$2222,0))),"")</f>
        <v/>
      </c>
      <c r="G183" s="26" t="str">
        <f aca="false">IFERROR(IF(INDEX(SearchDB!$E$2:$E$2222,MATCH(178,SearchDB!$L$2:$L$2222,0))=0,"",INDEX(SearchDB!$E$2:$E$2222,MATCH(178,SearchDB!$L$2:$L$2222,0))),"")</f>
        <v/>
      </c>
      <c r="H183" s="26" t="str">
        <f aca="false">IFERROR(IF(INDEX(SearchDB!$F$2:$F$2222,MATCH(178,SearchDB!$L$2:$L$2222,0))=0,"",INDEX(SearchDB!$F$2:$F$2222,MATCH(178,SearchDB!$L$2:$L$2222,0))),"")</f>
        <v/>
      </c>
      <c r="I183" s="26" t="str">
        <f aca="false">IFERROR(IF(INDEX(SearchDB!$G$2:$G$2222,MATCH(178,SearchDB!$L$2:$L$2222,0))=0,"",INDEX(SearchDB!$G$2:$G$2222,MATCH(178,SearchDB!$L$2:$L$2222,0))),"")</f>
        <v/>
      </c>
      <c r="J183" s="26" t="str">
        <f aca="false">IFERROR(IF(INDEX(SearchDB!$H$2:$H$2222,MATCH(178,SearchDB!$L$2:$L$2222,0))=0,"",INDEX(SearchDB!$H$2:$H$2222,MATCH(178,SearchDB!$L$2:$L$2222,0))),"")</f>
        <v/>
      </c>
      <c r="K183" s="24"/>
    </row>
    <row r="184" customFormat="false" ht="19.5" hidden="false" customHeight="true" outlineLevel="0" collapsed="false">
      <c r="A184" s="2"/>
      <c r="B184" s="22" t="n">
        <v>179</v>
      </c>
      <c r="C184" s="23" t="str">
        <f aca="false">IFERROR(INDEX(SearchDB!$A$2:$A$2222,MATCH(179,SearchDB!$L$2:$L$2222,0)),"")</f>
        <v/>
      </c>
      <c r="D184" s="23" t="str">
        <f aca="false">IFERROR(INDEX(SearchDB!$B$2:$B$2222,MATCH(179,SearchDB!$L$2:$L$2222,0)),"")</f>
        <v/>
      </c>
      <c r="E184" s="22" t="str">
        <f aca="false">IFERROR(INDEX(SearchDB!$C$2:$C$2222,MATCH(179,SearchDB!$L$2:$L$2222,0)),"")</f>
        <v/>
      </c>
      <c r="F184" s="23" t="str">
        <f aca="false">IFERROR(IF(INDEX(SearchDB!$D$2:$D$2222,MATCH(179,SearchDB!$L$2:$L$2222,0))=0,"",INDEX(SearchDB!$D$2:$D$2222,MATCH(179,SearchDB!$L$2:$L$2222,0))),"")</f>
        <v/>
      </c>
      <c r="G184" s="23" t="str">
        <f aca="false">IFERROR(IF(INDEX(SearchDB!$E$2:$E$2222,MATCH(179,SearchDB!$L$2:$L$2222,0))=0,"",INDEX(SearchDB!$E$2:$E$2222,MATCH(179,SearchDB!$L$2:$L$2222,0))),"")</f>
        <v/>
      </c>
      <c r="H184" s="23" t="str">
        <f aca="false">IFERROR(IF(INDEX(SearchDB!$F$2:$F$2222,MATCH(179,SearchDB!$L$2:$L$2222,0))=0,"",INDEX(SearchDB!$F$2:$F$2222,MATCH(179,SearchDB!$L$2:$L$2222,0))),"")</f>
        <v/>
      </c>
      <c r="I184" s="23" t="str">
        <f aca="false">IFERROR(IF(INDEX(SearchDB!$G$2:$G$2222,MATCH(179,SearchDB!$L$2:$L$2222,0))=0,"",INDEX(SearchDB!$G$2:$G$2222,MATCH(179,SearchDB!$L$2:$L$2222,0))),"")</f>
        <v/>
      </c>
      <c r="J184" s="23" t="str">
        <f aca="false">IFERROR(IF(INDEX(SearchDB!$H$2:$H$2222,MATCH(179,SearchDB!$L$2:$L$2222,0))=0,"",INDEX(SearchDB!$H$2:$H$2222,MATCH(179,SearchDB!$L$2:$L$2222,0))),"")</f>
        <v/>
      </c>
      <c r="K184" s="24"/>
    </row>
    <row r="185" customFormat="false" ht="19.5" hidden="false" customHeight="true" outlineLevel="0" collapsed="false">
      <c r="A185" s="2"/>
      <c r="B185" s="25" t="n">
        <v>180</v>
      </c>
      <c r="C185" s="26" t="str">
        <f aca="false">IFERROR(INDEX(SearchDB!$A$2:$A$2222,MATCH(180,SearchDB!$L$2:$L$2222,0)),"")</f>
        <v/>
      </c>
      <c r="D185" s="26" t="str">
        <f aca="false">IFERROR(INDEX(SearchDB!$B$2:$B$2222,MATCH(180,SearchDB!$L$2:$L$2222,0)),"")</f>
        <v/>
      </c>
      <c r="E185" s="25" t="str">
        <f aca="false">IFERROR(INDEX(SearchDB!$C$2:$C$2222,MATCH(180,SearchDB!$L$2:$L$2222,0)),"")</f>
        <v/>
      </c>
      <c r="F185" s="26" t="str">
        <f aca="false">IFERROR(IF(INDEX(SearchDB!$D$2:$D$2222,MATCH(180,SearchDB!$L$2:$L$2222,0))=0,"",INDEX(SearchDB!$D$2:$D$2222,MATCH(180,SearchDB!$L$2:$L$2222,0))),"")</f>
        <v/>
      </c>
      <c r="G185" s="26" t="str">
        <f aca="false">IFERROR(IF(INDEX(SearchDB!$E$2:$E$2222,MATCH(180,SearchDB!$L$2:$L$2222,0))=0,"",INDEX(SearchDB!$E$2:$E$2222,MATCH(180,SearchDB!$L$2:$L$2222,0))),"")</f>
        <v/>
      </c>
      <c r="H185" s="26" t="str">
        <f aca="false">IFERROR(IF(INDEX(SearchDB!$F$2:$F$2222,MATCH(180,SearchDB!$L$2:$L$2222,0))=0,"",INDEX(SearchDB!$F$2:$F$2222,MATCH(180,SearchDB!$L$2:$L$2222,0))),"")</f>
        <v/>
      </c>
      <c r="I185" s="26" t="str">
        <f aca="false">IFERROR(IF(INDEX(SearchDB!$G$2:$G$2222,MATCH(180,SearchDB!$L$2:$L$2222,0))=0,"",INDEX(SearchDB!$G$2:$G$2222,MATCH(180,SearchDB!$L$2:$L$2222,0))),"")</f>
        <v/>
      </c>
      <c r="J185" s="26" t="str">
        <f aca="false">IFERROR(IF(INDEX(SearchDB!$H$2:$H$2222,MATCH(180,SearchDB!$L$2:$L$2222,0))=0,"",INDEX(SearchDB!$H$2:$H$2222,MATCH(180,SearchDB!$L$2:$L$2222,0))),"")</f>
        <v/>
      </c>
      <c r="K185" s="24"/>
    </row>
    <row r="186" customFormat="false" ht="19.5" hidden="false" customHeight="true" outlineLevel="0" collapsed="false">
      <c r="A186" s="2"/>
      <c r="B186" s="22" t="n">
        <v>181</v>
      </c>
      <c r="C186" s="23" t="str">
        <f aca="false">IFERROR(INDEX(SearchDB!$A$2:$A$2222,MATCH(181,SearchDB!$L$2:$L$2222,0)),"")</f>
        <v/>
      </c>
      <c r="D186" s="23" t="str">
        <f aca="false">IFERROR(INDEX(SearchDB!$B$2:$B$2222,MATCH(181,SearchDB!$L$2:$L$2222,0)),"")</f>
        <v/>
      </c>
      <c r="E186" s="22" t="str">
        <f aca="false">IFERROR(INDEX(SearchDB!$C$2:$C$2222,MATCH(181,SearchDB!$L$2:$L$2222,0)),"")</f>
        <v/>
      </c>
      <c r="F186" s="23" t="str">
        <f aca="false">IFERROR(IF(INDEX(SearchDB!$D$2:$D$2222,MATCH(181,SearchDB!$L$2:$L$2222,0))=0,"",INDEX(SearchDB!$D$2:$D$2222,MATCH(181,SearchDB!$L$2:$L$2222,0))),"")</f>
        <v/>
      </c>
      <c r="G186" s="23" t="str">
        <f aca="false">IFERROR(IF(INDEX(SearchDB!$E$2:$E$2222,MATCH(181,SearchDB!$L$2:$L$2222,0))=0,"",INDEX(SearchDB!$E$2:$E$2222,MATCH(181,SearchDB!$L$2:$L$2222,0))),"")</f>
        <v/>
      </c>
      <c r="H186" s="23" t="str">
        <f aca="false">IFERROR(IF(INDEX(SearchDB!$F$2:$F$2222,MATCH(181,SearchDB!$L$2:$L$2222,0))=0,"",INDEX(SearchDB!$F$2:$F$2222,MATCH(181,SearchDB!$L$2:$L$2222,0))),"")</f>
        <v/>
      </c>
      <c r="I186" s="23" t="str">
        <f aca="false">IFERROR(IF(INDEX(SearchDB!$G$2:$G$2222,MATCH(181,SearchDB!$L$2:$L$2222,0))=0,"",INDEX(SearchDB!$G$2:$G$2222,MATCH(181,SearchDB!$L$2:$L$2222,0))),"")</f>
        <v/>
      </c>
      <c r="J186" s="23" t="str">
        <f aca="false">IFERROR(IF(INDEX(SearchDB!$H$2:$H$2222,MATCH(181,SearchDB!$L$2:$L$2222,0))=0,"",INDEX(SearchDB!$H$2:$H$2222,MATCH(181,SearchDB!$L$2:$L$2222,0))),"")</f>
        <v/>
      </c>
      <c r="K186" s="24"/>
    </row>
    <row r="187" customFormat="false" ht="19.5" hidden="false" customHeight="true" outlineLevel="0" collapsed="false">
      <c r="A187" s="2"/>
      <c r="B187" s="25" t="n">
        <v>182</v>
      </c>
      <c r="C187" s="26" t="str">
        <f aca="false">IFERROR(INDEX(SearchDB!$A$2:$A$2222,MATCH(182,SearchDB!$L$2:$L$2222,0)),"")</f>
        <v/>
      </c>
      <c r="D187" s="26" t="str">
        <f aca="false">IFERROR(INDEX(SearchDB!$B$2:$B$2222,MATCH(182,SearchDB!$L$2:$L$2222,0)),"")</f>
        <v/>
      </c>
      <c r="E187" s="25" t="str">
        <f aca="false">IFERROR(INDEX(SearchDB!$C$2:$C$2222,MATCH(182,SearchDB!$L$2:$L$2222,0)),"")</f>
        <v/>
      </c>
      <c r="F187" s="26" t="str">
        <f aca="false">IFERROR(IF(INDEX(SearchDB!$D$2:$D$2222,MATCH(182,SearchDB!$L$2:$L$2222,0))=0,"",INDEX(SearchDB!$D$2:$D$2222,MATCH(182,SearchDB!$L$2:$L$2222,0))),"")</f>
        <v/>
      </c>
      <c r="G187" s="26" t="str">
        <f aca="false">IFERROR(IF(INDEX(SearchDB!$E$2:$E$2222,MATCH(182,SearchDB!$L$2:$L$2222,0))=0,"",INDEX(SearchDB!$E$2:$E$2222,MATCH(182,SearchDB!$L$2:$L$2222,0))),"")</f>
        <v/>
      </c>
      <c r="H187" s="26" t="str">
        <f aca="false">IFERROR(IF(INDEX(SearchDB!$F$2:$F$2222,MATCH(182,SearchDB!$L$2:$L$2222,0))=0,"",INDEX(SearchDB!$F$2:$F$2222,MATCH(182,SearchDB!$L$2:$L$2222,0))),"")</f>
        <v/>
      </c>
      <c r="I187" s="26" t="str">
        <f aca="false">IFERROR(IF(INDEX(SearchDB!$G$2:$G$2222,MATCH(182,SearchDB!$L$2:$L$2222,0))=0,"",INDEX(SearchDB!$G$2:$G$2222,MATCH(182,SearchDB!$L$2:$L$2222,0))),"")</f>
        <v/>
      </c>
      <c r="J187" s="26" t="str">
        <f aca="false">IFERROR(IF(INDEX(SearchDB!$H$2:$H$2222,MATCH(182,SearchDB!$L$2:$L$2222,0))=0,"",INDEX(SearchDB!$H$2:$H$2222,MATCH(182,SearchDB!$L$2:$L$2222,0))),"")</f>
        <v/>
      </c>
      <c r="K187" s="24"/>
    </row>
    <row r="188" customFormat="false" ht="19.5" hidden="false" customHeight="true" outlineLevel="0" collapsed="false">
      <c r="A188" s="2"/>
      <c r="B188" s="22" t="n">
        <v>183</v>
      </c>
      <c r="C188" s="23" t="str">
        <f aca="false">IFERROR(INDEX(SearchDB!$A$2:$A$2222,MATCH(183,SearchDB!$L$2:$L$2222,0)),"")</f>
        <v/>
      </c>
      <c r="D188" s="23" t="str">
        <f aca="false">IFERROR(INDEX(SearchDB!$B$2:$B$2222,MATCH(183,SearchDB!$L$2:$L$2222,0)),"")</f>
        <v/>
      </c>
      <c r="E188" s="22" t="str">
        <f aca="false">IFERROR(INDEX(SearchDB!$C$2:$C$2222,MATCH(183,SearchDB!$L$2:$L$2222,0)),"")</f>
        <v/>
      </c>
      <c r="F188" s="23" t="str">
        <f aca="false">IFERROR(IF(INDEX(SearchDB!$D$2:$D$2222,MATCH(183,SearchDB!$L$2:$L$2222,0))=0,"",INDEX(SearchDB!$D$2:$D$2222,MATCH(183,SearchDB!$L$2:$L$2222,0))),"")</f>
        <v/>
      </c>
      <c r="G188" s="23" t="str">
        <f aca="false">IFERROR(IF(INDEX(SearchDB!$E$2:$E$2222,MATCH(183,SearchDB!$L$2:$L$2222,0))=0,"",INDEX(SearchDB!$E$2:$E$2222,MATCH(183,SearchDB!$L$2:$L$2222,0))),"")</f>
        <v/>
      </c>
      <c r="H188" s="23" t="str">
        <f aca="false">IFERROR(IF(INDEX(SearchDB!$F$2:$F$2222,MATCH(183,SearchDB!$L$2:$L$2222,0))=0,"",INDEX(SearchDB!$F$2:$F$2222,MATCH(183,SearchDB!$L$2:$L$2222,0))),"")</f>
        <v/>
      </c>
      <c r="I188" s="23" t="str">
        <f aca="false">IFERROR(IF(INDEX(SearchDB!$G$2:$G$2222,MATCH(183,SearchDB!$L$2:$L$2222,0))=0,"",INDEX(SearchDB!$G$2:$G$2222,MATCH(183,SearchDB!$L$2:$L$2222,0))),"")</f>
        <v/>
      </c>
      <c r="J188" s="23" t="str">
        <f aca="false">IFERROR(IF(INDEX(SearchDB!$H$2:$H$2222,MATCH(183,SearchDB!$L$2:$L$2222,0))=0,"",INDEX(SearchDB!$H$2:$H$2222,MATCH(183,SearchDB!$L$2:$L$2222,0))),"")</f>
        <v/>
      </c>
      <c r="K188" s="24"/>
    </row>
    <row r="189" customFormat="false" ht="19.5" hidden="false" customHeight="true" outlineLevel="0" collapsed="false">
      <c r="A189" s="2"/>
      <c r="B189" s="25" t="n">
        <v>184</v>
      </c>
      <c r="C189" s="26" t="str">
        <f aca="false">IFERROR(INDEX(SearchDB!$A$2:$A$2222,MATCH(184,SearchDB!$L$2:$L$2222,0)),"")</f>
        <v/>
      </c>
      <c r="D189" s="26" t="str">
        <f aca="false">IFERROR(INDEX(SearchDB!$B$2:$B$2222,MATCH(184,SearchDB!$L$2:$L$2222,0)),"")</f>
        <v/>
      </c>
      <c r="E189" s="25" t="str">
        <f aca="false">IFERROR(INDEX(SearchDB!$C$2:$C$2222,MATCH(184,SearchDB!$L$2:$L$2222,0)),"")</f>
        <v/>
      </c>
      <c r="F189" s="26" t="str">
        <f aca="false">IFERROR(IF(INDEX(SearchDB!$D$2:$D$2222,MATCH(184,SearchDB!$L$2:$L$2222,0))=0,"",INDEX(SearchDB!$D$2:$D$2222,MATCH(184,SearchDB!$L$2:$L$2222,0))),"")</f>
        <v/>
      </c>
      <c r="G189" s="26" t="str">
        <f aca="false">IFERROR(IF(INDEX(SearchDB!$E$2:$E$2222,MATCH(184,SearchDB!$L$2:$L$2222,0))=0,"",INDEX(SearchDB!$E$2:$E$2222,MATCH(184,SearchDB!$L$2:$L$2222,0))),"")</f>
        <v/>
      </c>
      <c r="H189" s="26" t="str">
        <f aca="false">IFERROR(IF(INDEX(SearchDB!$F$2:$F$2222,MATCH(184,SearchDB!$L$2:$L$2222,0))=0,"",INDEX(SearchDB!$F$2:$F$2222,MATCH(184,SearchDB!$L$2:$L$2222,0))),"")</f>
        <v/>
      </c>
      <c r="I189" s="26" t="str">
        <f aca="false">IFERROR(IF(INDEX(SearchDB!$G$2:$G$2222,MATCH(184,SearchDB!$L$2:$L$2222,0))=0,"",INDEX(SearchDB!$G$2:$G$2222,MATCH(184,SearchDB!$L$2:$L$2222,0))),"")</f>
        <v/>
      </c>
      <c r="J189" s="26" t="str">
        <f aca="false">IFERROR(IF(INDEX(SearchDB!$H$2:$H$2222,MATCH(184,SearchDB!$L$2:$L$2222,0))=0,"",INDEX(SearchDB!$H$2:$H$2222,MATCH(184,SearchDB!$L$2:$L$2222,0))),"")</f>
        <v/>
      </c>
      <c r="K189" s="24"/>
    </row>
    <row r="190" customFormat="false" ht="19.5" hidden="false" customHeight="true" outlineLevel="0" collapsed="false">
      <c r="A190" s="2"/>
      <c r="B190" s="22" t="n">
        <v>185</v>
      </c>
      <c r="C190" s="23" t="str">
        <f aca="false">IFERROR(INDEX(SearchDB!$A$2:$A$2222,MATCH(185,SearchDB!$L$2:$L$2222,0)),"")</f>
        <v/>
      </c>
      <c r="D190" s="23" t="str">
        <f aca="false">IFERROR(INDEX(SearchDB!$B$2:$B$2222,MATCH(185,SearchDB!$L$2:$L$2222,0)),"")</f>
        <v/>
      </c>
      <c r="E190" s="22" t="str">
        <f aca="false">IFERROR(INDEX(SearchDB!$C$2:$C$2222,MATCH(185,SearchDB!$L$2:$L$2222,0)),"")</f>
        <v/>
      </c>
      <c r="F190" s="23" t="str">
        <f aca="false">IFERROR(IF(INDEX(SearchDB!$D$2:$D$2222,MATCH(185,SearchDB!$L$2:$L$2222,0))=0,"",INDEX(SearchDB!$D$2:$D$2222,MATCH(185,SearchDB!$L$2:$L$2222,0))),"")</f>
        <v/>
      </c>
      <c r="G190" s="23" t="str">
        <f aca="false">IFERROR(IF(INDEX(SearchDB!$E$2:$E$2222,MATCH(185,SearchDB!$L$2:$L$2222,0))=0,"",INDEX(SearchDB!$E$2:$E$2222,MATCH(185,SearchDB!$L$2:$L$2222,0))),"")</f>
        <v/>
      </c>
      <c r="H190" s="23" t="str">
        <f aca="false">IFERROR(IF(INDEX(SearchDB!$F$2:$F$2222,MATCH(185,SearchDB!$L$2:$L$2222,0))=0,"",INDEX(SearchDB!$F$2:$F$2222,MATCH(185,SearchDB!$L$2:$L$2222,0))),"")</f>
        <v/>
      </c>
      <c r="I190" s="23" t="str">
        <f aca="false">IFERROR(IF(INDEX(SearchDB!$G$2:$G$2222,MATCH(185,SearchDB!$L$2:$L$2222,0))=0,"",INDEX(SearchDB!$G$2:$G$2222,MATCH(185,SearchDB!$L$2:$L$2222,0))),"")</f>
        <v/>
      </c>
      <c r="J190" s="23" t="str">
        <f aca="false">IFERROR(IF(INDEX(SearchDB!$H$2:$H$2222,MATCH(185,SearchDB!$L$2:$L$2222,0))=0,"",INDEX(SearchDB!$H$2:$H$2222,MATCH(185,SearchDB!$L$2:$L$2222,0))),"")</f>
        <v/>
      </c>
      <c r="K190" s="24"/>
    </row>
    <row r="191" customFormat="false" ht="19.5" hidden="false" customHeight="true" outlineLevel="0" collapsed="false">
      <c r="A191" s="2"/>
      <c r="B191" s="25" t="n">
        <v>186</v>
      </c>
      <c r="C191" s="26" t="str">
        <f aca="false">IFERROR(INDEX(SearchDB!$A$2:$A$2222,MATCH(186,SearchDB!$L$2:$L$2222,0)),"")</f>
        <v/>
      </c>
      <c r="D191" s="26" t="str">
        <f aca="false">IFERROR(INDEX(SearchDB!$B$2:$B$2222,MATCH(186,SearchDB!$L$2:$L$2222,0)),"")</f>
        <v/>
      </c>
      <c r="E191" s="25" t="str">
        <f aca="false">IFERROR(INDEX(SearchDB!$C$2:$C$2222,MATCH(186,SearchDB!$L$2:$L$2222,0)),"")</f>
        <v/>
      </c>
      <c r="F191" s="26" t="str">
        <f aca="false">IFERROR(IF(INDEX(SearchDB!$D$2:$D$2222,MATCH(186,SearchDB!$L$2:$L$2222,0))=0,"",INDEX(SearchDB!$D$2:$D$2222,MATCH(186,SearchDB!$L$2:$L$2222,0))),"")</f>
        <v/>
      </c>
      <c r="G191" s="26" t="str">
        <f aca="false">IFERROR(IF(INDEX(SearchDB!$E$2:$E$2222,MATCH(186,SearchDB!$L$2:$L$2222,0))=0,"",INDEX(SearchDB!$E$2:$E$2222,MATCH(186,SearchDB!$L$2:$L$2222,0))),"")</f>
        <v/>
      </c>
      <c r="H191" s="26" t="str">
        <f aca="false">IFERROR(IF(INDEX(SearchDB!$F$2:$F$2222,MATCH(186,SearchDB!$L$2:$L$2222,0))=0,"",INDEX(SearchDB!$F$2:$F$2222,MATCH(186,SearchDB!$L$2:$L$2222,0))),"")</f>
        <v/>
      </c>
      <c r="I191" s="26" t="str">
        <f aca="false">IFERROR(IF(INDEX(SearchDB!$G$2:$G$2222,MATCH(186,SearchDB!$L$2:$L$2222,0))=0,"",INDEX(SearchDB!$G$2:$G$2222,MATCH(186,SearchDB!$L$2:$L$2222,0))),"")</f>
        <v/>
      </c>
      <c r="J191" s="26" t="str">
        <f aca="false">IFERROR(IF(INDEX(SearchDB!$H$2:$H$2222,MATCH(186,SearchDB!$L$2:$L$2222,0))=0,"",INDEX(SearchDB!$H$2:$H$2222,MATCH(186,SearchDB!$L$2:$L$2222,0))),"")</f>
        <v/>
      </c>
      <c r="K191" s="24"/>
    </row>
    <row r="192" customFormat="false" ht="19.5" hidden="false" customHeight="true" outlineLevel="0" collapsed="false">
      <c r="A192" s="2"/>
      <c r="B192" s="22" t="n">
        <v>187</v>
      </c>
      <c r="C192" s="23" t="str">
        <f aca="false">IFERROR(INDEX(SearchDB!$A$2:$A$2222,MATCH(187,SearchDB!$L$2:$L$2222,0)),"")</f>
        <v/>
      </c>
      <c r="D192" s="23" t="str">
        <f aca="false">IFERROR(INDEX(SearchDB!$B$2:$B$2222,MATCH(187,SearchDB!$L$2:$L$2222,0)),"")</f>
        <v/>
      </c>
      <c r="E192" s="22" t="str">
        <f aca="false">IFERROR(INDEX(SearchDB!$C$2:$C$2222,MATCH(187,SearchDB!$L$2:$L$2222,0)),"")</f>
        <v/>
      </c>
      <c r="F192" s="23" t="str">
        <f aca="false">IFERROR(IF(INDEX(SearchDB!$D$2:$D$2222,MATCH(187,SearchDB!$L$2:$L$2222,0))=0,"",INDEX(SearchDB!$D$2:$D$2222,MATCH(187,SearchDB!$L$2:$L$2222,0))),"")</f>
        <v/>
      </c>
      <c r="G192" s="23" t="str">
        <f aca="false">IFERROR(IF(INDEX(SearchDB!$E$2:$E$2222,MATCH(187,SearchDB!$L$2:$L$2222,0))=0,"",INDEX(SearchDB!$E$2:$E$2222,MATCH(187,SearchDB!$L$2:$L$2222,0))),"")</f>
        <v/>
      </c>
      <c r="H192" s="23" t="str">
        <f aca="false">IFERROR(IF(INDEX(SearchDB!$F$2:$F$2222,MATCH(187,SearchDB!$L$2:$L$2222,0))=0,"",INDEX(SearchDB!$F$2:$F$2222,MATCH(187,SearchDB!$L$2:$L$2222,0))),"")</f>
        <v/>
      </c>
      <c r="I192" s="23" t="str">
        <f aca="false">IFERROR(IF(INDEX(SearchDB!$G$2:$G$2222,MATCH(187,SearchDB!$L$2:$L$2222,0))=0,"",INDEX(SearchDB!$G$2:$G$2222,MATCH(187,SearchDB!$L$2:$L$2222,0))),"")</f>
        <v/>
      </c>
      <c r="J192" s="23" t="str">
        <f aca="false">IFERROR(IF(INDEX(SearchDB!$H$2:$H$2222,MATCH(187,SearchDB!$L$2:$L$2222,0))=0,"",INDEX(SearchDB!$H$2:$H$2222,MATCH(187,SearchDB!$L$2:$L$2222,0))),"")</f>
        <v/>
      </c>
      <c r="K192" s="24"/>
    </row>
    <row r="193" customFormat="false" ht="19.5" hidden="false" customHeight="true" outlineLevel="0" collapsed="false">
      <c r="A193" s="2"/>
      <c r="B193" s="25" t="n">
        <v>188</v>
      </c>
      <c r="C193" s="26" t="str">
        <f aca="false">IFERROR(INDEX(SearchDB!$A$2:$A$2222,MATCH(188,SearchDB!$L$2:$L$2222,0)),"")</f>
        <v/>
      </c>
      <c r="D193" s="26" t="str">
        <f aca="false">IFERROR(INDEX(SearchDB!$B$2:$B$2222,MATCH(188,SearchDB!$L$2:$L$2222,0)),"")</f>
        <v/>
      </c>
      <c r="E193" s="25" t="str">
        <f aca="false">IFERROR(INDEX(SearchDB!$C$2:$C$2222,MATCH(188,SearchDB!$L$2:$L$2222,0)),"")</f>
        <v/>
      </c>
      <c r="F193" s="26" t="str">
        <f aca="false">IFERROR(IF(INDEX(SearchDB!$D$2:$D$2222,MATCH(188,SearchDB!$L$2:$L$2222,0))=0,"",INDEX(SearchDB!$D$2:$D$2222,MATCH(188,SearchDB!$L$2:$L$2222,0))),"")</f>
        <v/>
      </c>
      <c r="G193" s="26" t="str">
        <f aca="false">IFERROR(IF(INDEX(SearchDB!$E$2:$E$2222,MATCH(188,SearchDB!$L$2:$L$2222,0))=0,"",INDEX(SearchDB!$E$2:$E$2222,MATCH(188,SearchDB!$L$2:$L$2222,0))),"")</f>
        <v/>
      </c>
      <c r="H193" s="26" t="str">
        <f aca="false">IFERROR(IF(INDEX(SearchDB!$F$2:$F$2222,MATCH(188,SearchDB!$L$2:$L$2222,0))=0,"",INDEX(SearchDB!$F$2:$F$2222,MATCH(188,SearchDB!$L$2:$L$2222,0))),"")</f>
        <v/>
      </c>
      <c r="I193" s="26" t="str">
        <f aca="false">IFERROR(IF(INDEX(SearchDB!$G$2:$G$2222,MATCH(188,SearchDB!$L$2:$L$2222,0))=0,"",INDEX(SearchDB!$G$2:$G$2222,MATCH(188,SearchDB!$L$2:$L$2222,0))),"")</f>
        <v/>
      </c>
      <c r="J193" s="26" t="str">
        <f aca="false">IFERROR(IF(INDEX(SearchDB!$H$2:$H$2222,MATCH(188,SearchDB!$L$2:$L$2222,0))=0,"",INDEX(SearchDB!$H$2:$H$2222,MATCH(188,SearchDB!$L$2:$L$2222,0))),"")</f>
        <v/>
      </c>
      <c r="K193" s="24"/>
    </row>
    <row r="194" customFormat="false" ht="19.5" hidden="false" customHeight="true" outlineLevel="0" collapsed="false">
      <c r="A194" s="2"/>
      <c r="B194" s="22" t="n">
        <v>189</v>
      </c>
      <c r="C194" s="23" t="str">
        <f aca="false">IFERROR(INDEX(SearchDB!$A$2:$A$2222,MATCH(189,SearchDB!$L$2:$L$2222,0)),"")</f>
        <v/>
      </c>
      <c r="D194" s="23" t="str">
        <f aca="false">IFERROR(INDEX(SearchDB!$B$2:$B$2222,MATCH(189,SearchDB!$L$2:$L$2222,0)),"")</f>
        <v/>
      </c>
      <c r="E194" s="22" t="str">
        <f aca="false">IFERROR(INDEX(SearchDB!$C$2:$C$2222,MATCH(189,SearchDB!$L$2:$L$2222,0)),"")</f>
        <v/>
      </c>
      <c r="F194" s="23" t="str">
        <f aca="false">IFERROR(IF(INDEX(SearchDB!$D$2:$D$2222,MATCH(189,SearchDB!$L$2:$L$2222,0))=0,"",INDEX(SearchDB!$D$2:$D$2222,MATCH(189,SearchDB!$L$2:$L$2222,0))),"")</f>
        <v/>
      </c>
      <c r="G194" s="23" t="str">
        <f aca="false">IFERROR(IF(INDEX(SearchDB!$E$2:$E$2222,MATCH(189,SearchDB!$L$2:$L$2222,0))=0,"",INDEX(SearchDB!$E$2:$E$2222,MATCH(189,SearchDB!$L$2:$L$2222,0))),"")</f>
        <v/>
      </c>
      <c r="H194" s="23" t="str">
        <f aca="false">IFERROR(IF(INDEX(SearchDB!$F$2:$F$2222,MATCH(189,SearchDB!$L$2:$L$2222,0))=0,"",INDEX(SearchDB!$F$2:$F$2222,MATCH(189,SearchDB!$L$2:$L$2222,0))),"")</f>
        <v/>
      </c>
      <c r="I194" s="23" t="str">
        <f aca="false">IFERROR(IF(INDEX(SearchDB!$G$2:$G$2222,MATCH(189,SearchDB!$L$2:$L$2222,0))=0,"",INDEX(SearchDB!$G$2:$G$2222,MATCH(189,SearchDB!$L$2:$L$2222,0))),"")</f>
        <v/>
      </c>
      <c r="J194" s="23" t="str">
        <f aca="false">IFERROR(IF(INDEX(SearchDB!$H$2:$H$2222,MATCH(189,SearchDB!$L$2:$L$2222,0))=0,"",INDEX(SearchDB!$H$2:$H$2222,MATCH(189,SearchDB!$L$2:$L$2222,0))),"")</f>
        <v/>
      </c>
      <c r="K194" s="24"/>
    </row>
    <row r="195" customFormat="false" ht="19.5" hidden="false" customHeight="true" outlineLevel="0" collapsed="false">
      <c r="A195" s="2"/>
      <c r="B195" s="25" t="n">
        <v>190</v>
      </c>
      <c r="C195" s="26" t="str">
        <f aca="false">IFERROR(INDEX(SearchDB!$A$2:$A$2222,MATCH(190,SearchDB!$L$2:$L$2222,0)),"")</f>
        <v/>
      </c>
      <c r="D195" s="26" t="str">
        <f aca="false">IFERROR(INDEX(SearchDB!$B$2:$B$2222,MATCH(190,SearchDB!$L$2:$L$2222,0)),"")</f>
        <v/>
      </c>
      <c r="E195" s="25" t="str">
        <f aca="false">IFERROR(INDEX(SearchDB!$C$2:$C$2222,MATCH(190,SearchDB!$L$2:$L$2222,0)),"")</f>
        <v/>
      </c>
      <c r="F195" s="26" t="str">
        <f aca="false">IFERROR(IF(INDEX(SearchDB!$D$2:$D$2222,MATCH(190,SearchDB!$L$2:$L$2222,0))=0,"",INDEX(SearchDB!$D$2:$D$2222,MATCH(190,SearchDB!$L$2:$L$2222,0))),"")</f>
        <v/>
      </c>
      <c r="G195" s="26" t="str">
        <f aca="false">IFERROR(IF(INDEX(SearchDB!$E$2:$E$2222,MATCH(190,SearchDB!$L$2:$L$2222,0))=0,"",INDEX(SearchDB!$E$2:$E$2222,MATCH(190,SearchDB!$L$2:$L$2222,0))),"")</f>
        <v/>
      </c>
      <c r="H195" s="26" t="str">
        <f aca="false">IFERROR(IF(INDEX(SearchDB!$F$2:$F$2222,MATCH(190,SearchDB!$L$2:$L$2222,0))=0,"",INDEX(SearchDB!$F$2:$F$2222,MATCH(190,SearchDB!$L$2:$L$2222,0))),"")</f>
        <v/>
      </c>
      <c r="I195" s="26" t="str">
        <f aca="false">IFERROR(IF(INDEX(SearchDB!$G$2:$G$2222,MATCH(190,SearchDB!$L$2:$L$2222,0))=0,"",INDEX(SearchDB!$G$2:$G$2222,MATCH(190,SearchDB!$L$2:$L$2222,0))),"")</f>
        <v/>
      </c>
      <c r="J195" s="26" t="str">
        <f aca="false">IFERROR(IF(INDEX(SearchDB!$H$2:$H$2222,MATCH(190,SearchDB!$L$2:$L$2222,0))=0,"",INDEX(SearchDB!$H$2:$H$2222,MATCH(190,SearchDB!$L$2:$L$2222,0))),"")</f>
        <v/>
      </c>
      <c r="K195" s="24"/>
    </row>
    <row r="196" customFormat="false" ht="19.5" hidden="false" customHeight="true" outlineLevel="0" collapsed="false">
      <c r="A196" s="2"/>
      <c r="B196" s="22" t="n">
        <v>191</v>
      </c>
      <c r="C196" s="23" t="str">
        <f aca="false">IFERROR(INDEX(SearchDB!$A$2:$A$2222,MATCH(191,SearchDB!$L$2:$L$2222,0)),"")</f>
        <v/>
      </c>
      <c r="D196" s="23" t="str">
        <f aca="false">IFERROR(INDEX(SearchDB!$B$2:$B$2222,MATCH(191,SearchDB!$L$2:$L$2222,0)),"")</f>
        <v/>
      </c>
      <c r="E196" s="22" t="str">
        <f aca="false">IFERROR(INDEX(SearchDB!$C$2:$C$2222,MATCH(191,SearchDB!$L$2:$L$2222,0)),"")</f>
        <v/>
      </c>
      <c r="F196" s="23" t="str">
        <f aca="false">IFERROR(IF(INDEX(SearchDB!$D$2:$D$2222,MATCH(191,SearchDB!$L$2:$L$2222,0))=0,"",INDEX(SearchDB!$D$2:$D$2222,MATCH(191,SearchDB!$L$2:$L$2222,0))),"")</f>
        <v/>
      </c>
      <c r="G196" s="23" t="str">
        <f aca="false">IFERROR(IF(INDEX(SearchDB!$E$2:$E$2222,MATCH(191,SearchDB!$L$2:$L$2222,0))=0,"",INDEX(SearchDB!$E$2:$E$2222,MATCH(191,SearchDB!$L$2:$L$2222,0))),"")</f>
        <v/>
      </c>
      <c r="H196" s="23" t="str">
        <f aca="false">IFERROR(IF(INDEX(SearchDB!$F$2:$F$2222,MATCH(191,SearchDB!$L$2:$L$2222,0))=0,"",INDEX(SearchDB!$F$2:$F$2222,MATCH(191,SearchDB!$L$2:$L$2222,0))),"")</f>
        <v/>
      </c>
      <c r="I196" s="23" t="str">
        <f aca="false">IFERROR(IF(INDEX(SearchDB!$G$2:$G$2222,MATCH(191,SearchDB!$L$2:$L$2222,0))=0,"",INDEX(SearchDB!$G$2:$G$2222,MATCH(191,SearchDB!$L$2:$L$2222,0))),"")</f>
        <v/>
      </c>
      <c r="J196" s="23" t="str">
        <f aca="false">IFERROR(IF(INDEX(SearchDB!$H$2:$H$2222,MATCH(191,SearchDB!$L$2:$L$2222,0))=0,"",INDEX(SearchDB!$H$2:$H$2222,MATCH(191,SearchDB!$L$2:$L$2222,0))),"")</f>
        <v/>
      </c>
      <c r="K196" s="24"/>
    </row>
    <row r="197" customFormat="false" ht="19.5" hidden="false" customHeight="true" outlineLevel="0" collapsed="false">
      <c r="A197" s="2"/>
      <c r="B197" s="25" t="n">
        <v>192</v>
      </c>
      <c r="C197" s="26" t="str">
        <f aca="false">IFERROR(INDEX(SearchDB!$A$2:$A$2222,MATCH(192,SearchDB!$L$2:$L$2222,0)),"")</f>
        <v/>
      </c>
      <c r="D197" s="26" t="str">
        <f aca="false">IFERROR(INDEX(SearchDB!$B$2:$B$2222,MATCH(192,SearchDB!$L$2:$L$2222,0)),"")</f>
        <v/>
      </c>
      <c r="E197" s="25" t="str">
        <f aca="false">IFERROR(INDEX(SearchDB!$C$2:$C$2222,MATCH(192,SearchDB!$L$2:$L$2222,0)),"")</f>
        <v/>
      </c>
      <c r="F197" s="26" t="str">
        <f aca="false">IFERROR(IF(INDEX(SearchDB!$D$2:$D$2222,MATCH(192,SearchDB!$L$2:$L$2222,0))=0,"",INDEX(SearchDB!$D$2:$D$2222,MATCH(192,SearchDB!$L$2:$L$2222,0))),"")</f>
        <v/>
      </c>
      <c r="G197" s="26" t="str">
        <f aca="false">IFERROR(IF(INDEX(SearchDB!$E$2:$E$2222,MATCH(192,SearchDB!$L$2:$L$2222,0))=0,"",INDEX(SearchDB!$E$2:$E$2222,MATCH(192,SearchDB!$L$2:$L$2222,0))),"")</f>
        <v/>
      </c>
      <c r="H197" s="26" t="str">
        <f aca="false">IFERROR(IF(INDEX(SearchDB!$F$2:$F$2222,MATCH(192,SearchDB!$L$2:$L$2222,0))=0,"",INDEX(SearchDB!$F$2:$F$2222,MATCH(192,SearchDB!$L$2:$L$2222,0))),"")</f>
        <v/>
      </c>
      <c r="I197" s="26" t="str">
        <f aca="false">IFERROR(IF(INDEX(SearchDB!$G$2:$G$2222,MATCH(192,SearchDB!$L$2:$L$2222,0))=0,"",INDEX(SearchDB!$G$2:$G$2222,MATCH(192,SearchDB!$L$2:$L$2222,0))),"")</f>
        <v/>
      </c>
      <c r="J197" s="26" t="str">
        <f aca="false">IFERROR(IF(INDEX(SearchDB!$H$2:$H$2222,MATCH(192,SearchDB!$L$2:$L$2222,0))=0,"",INDEX(SearchDB!$H$2:$H$2222,MATCH(192,SearchDB!$L$2:$L$2222,0))),"")</f>
        <v/>
      </c>
      <c r="K197" s="24"/>
    </row>
    <row r="198" customFormat="false" ht="19.5" hidden="false" customHeight="true" outlineLevel="0" collapsed="false">
      <c r="A198" s="2"/>
      <c r="B198" s="22" t="n">
        <v>193</v>
      </c>
      <c r="C198" s="23" t="str">
        <f aca="false">IFERROR(INDEX(SearchDB!$A$2:$A$2222,MATCH(193,SearchDB!$L$2:$L$2222,0)),"")</f>
        <v/>
      </c>
      <c r="D198" s="23" t="str">
        <f aca="false">IFERROR(INDEX(SearchDB!$B$2:$B$2222,MATCH(193,SearchDB!$L$2:$L$2222,0)),"")</f>
        <v/>
      </c>
      <c r="E198" s="22" t="str">
        <f aca="false">IFERROR(INDEX(SearchDB!$C$2:$C$2222,MATCH(193,SearchDB!$L$2:$L$2222,0)),"")</f>
        <v/>
      </c>
      <c r="F198" s="23" t="str">
        <f aca="false">IFERROR(IF(INDEX(SearchDB!$D$2:$D$2222,MATCH(193,SearchDB!$L$2:$L$2222,0))=0,"",INDEX(SearchDB!$D$2:$D$2222,MATCH(193,SearchDB!$L$2:$L$2222,0))),"")</f>
        <v/>
      </c>
      <c r="G198" s="23" t="str">
        <f aca="false">IFERROR(IF(INDEX(SearchDB!$E$2:$E$2222,MATCH(193,SearchDB!$L$2:$L$2222,0))=0,"",INDEX(SearchDB!$E$2:$E$2222,MATCH(193,SearchDB!$L$2:$L$2222,0))),"")</f>
        <v/>
      </c>
      <c r="H198" s="23" t="str">
        <f aca="false">IFERROR(IF(INDEX(SearchDB!$F$2:$F$2222,MATCH(193,SearchDB!$L$2:$L$2222,0))=0,"",INDEX(SearchDB!$F$2:$F$2222,MATCH(193,SearchDB!$L$2:$L$2222,0))),"")</f>
        <v/>
      </c>
      <c r="I198" s="23" t="str">
        <f aca="false">IFERROR(IF(INDEX(SearchDB!$G$2:$G$2222,MATCH(193,SearchDB!$L$2:$L$2222,0))=0,"",INDEX(SearchDB!$G$2:$G$2222,MATCH(193,SearchDB!$L$2:$L$2222,0))),"")</f>
        <v/>
      </c>
      <c r="J198" s="23" t="str">
        <f aca="false">IFERROR(IF(INDEX(SearchDB!$H$2:$H$2222,MATCH(193,SearchDB!$L$2:$L$2222,0))=0,"",INDEX(SearchDB!$H$2:$H$2222,MATCH(193,SearchDB!$L$2:$L$2222,0))),"")</f>
        <v/>
      </c>
      <c r="K198" s="24"/>
    </row>
    <row r="199" customFormat="false" ht="19.5" hidden="false" customHeight="true" outlineLevel="0" collapsed="false">
      <c r="A199" s="2"/>
      <c r="B199" s="25" t="n">
        <v>194</v>
      </c>
      <c r="C199" s="26" t="str">
        <f aca="false">IFERROR(INDEX(SearchDB!$A$2:$A$2222,MATCH(194,SearchDB!$L$2:$L$2222,0)),"")</f>
        <v/>
      </c>
      <c r="D199" s="26" t="str">
        <f aca="false">IFERROR(INDEX(SearchDB!$B$2:$B$2222,MATCH(194,SearchDB!$L$2:$L$2222,0)),"")</f>
        <v/>
      </c>
      <c r="E199" s="25" t="str">
        <f aca="false">IFERROR(INDEX(SearchDB!$C$2:$C$2222,MATCH(194,SearchDB!$L$2:$L$2222,0)),"")</f>
        <v/>
      </c>
      <c r="F199" s="26" t="str">
        <f aca="false">IFERROR(IF(INDEX(SearchDB!$D$2:$D$2222,MATCH(194,SearchDB!$L$2:$L$2222,0))=0,"",INDEX(SearchDB!$D$2:$D$2222,MATCH(194,SearchDB!$L$2:$L$2222,0))),"")</f>
        <v/>
      </c>
      <c r="G199" s="26" t="str">
        <f aca="false">IFERROR(IF(INDEX(SearchDB!$E$2:$E$2222,MATCH(194,SearchDB!$L$2:$L$2222,0))=0,"",INDEX(SearchDB!$E$2:$E$2222,MATCH(194,SearchDB!$L$2:$L$2222,0))),"")</f>
        <v/>
      </c>
      <c r="H199" s="26" t="str">
        <f aca="false">IFERROR(IF(INDEX(SearchDB!$F$2:$F$2222,MATCH(194,SearchDB!$L$2:$L$2222,0))=0,"",INDEX(SearchDB!$F$2:$F$2222,MATCH(194,SearchDB!$L$2:$L$2222,0))),"")</f>
        <v/>
      </c>
      <c r="I199" s="26" t="str">
        <f aca="false">IFERROR(IF(INDEX(SearchDB!$G$2:$G$2222,MATCH(194,SearchDB!$L$2:$L$2222,0))=0,"",INDEX(SearchDB!$G$2:$G$2222,MATCH(194,SearchDB!$L$2:$L$2222,0))),"")</f>
        <v/>
      </c>
      <c r="J199" s="26" t="str">
        <f aca="false">IFERROR(IF(INDEX(SearchDB!$H$2:$H$2222,MATCH(194,SearchDB!$L$2:$L$2222,0))=0,"",INDEX(SearchDB!$H$2:$H$2222,MATCH(194,SearchDB!$L$2:$L$2222,0))),"")</f>
        <v/>
      </c>
      <c r="K199" s="24"/>
    </row>
    <row r="200" customFormat="false" ht="19.5" hidden="false" customHeight="true" outlineLevel="0" collapsed="false">
      <c r="A200" s="2"/>
      <c r="B200" s="22" t="n">
        <v>195</v>
      </c>
      <c r="C200" s="23" t="str">
        <f aca="false">IFERROR(INDEX(SearchDB!$A$2:$A$2222,MATCH(195,SearchDB!$L$2:$L$2222,0)),"")</f>
        <v/>
      </c>
      <c r="D200" s="23" t="str">
        <f aca="false">IFERROR(INDEX(SearchDB!$B$2:$B$2222,MATCH(195,SearchDB!$L$2:$L$2222,0)),"")</f>
        <v/>
      </c>
      <c r="E200" s="22" t="str">
        <f aca="false">IFERROR(INDEX(SearchDB!$C$2:$C$2222,MATCH(195,SearchDB!$L$2:$L$2222,0)),"")</f>
        <v/>
      </c>
      <c r="F200" s="23" t="str">
        <f aca="false">IFERROR(IF(INDEX(SearchDB!$D$2:$D$2222,MATCH(195,SearchDB!$L$2:$L$2222,0))=0,"",INDEX(SearchDB!$D$2:$D$2222,MATCH(195,SearchDB!$L$2:$L$2222,0))),"")</f>
        <v/>
      </c>
      <c r="G200" s="23" t="str">
        <f aca="false">IFERROR(IF(INDEX(SearchDB!$E$2:$E$2222,MATCH(195,SearchDB!$L$2:$L$2222,0))=0,"",INDEX(SearchDB!$E$2:$E$2222,MATCH(195,SearchDB!$L$2:$L$2222,0))),"")</f>
        <v/>
      </c>
      <c r="H200" s="23" t="str">
        <f aca="false">IFERROR(IF(INDEX(SearchDB!$F$2:$F$2222,MATCH(195,SearchDB!$L$2:$L$2222,0))=0,"",INDEX(SearchDB!$F$2:$F$2222,MATCH(195,SearchDB!$L$2:$L$2222,0))),"")</f>
        <v/>
      </c>
      <c r="I200" s="23" t="str">
        <f aca="false">IFERROR(IF(INDEX(SearchDB!$G$2:$G$2222,MATCH(195,SearchDB!$L$2:$L$2222,0))=0,"",INDEX(SearchDB!$G$2:$G$2222,MATCH(195,SearchDB!$L$2:$L$2222,0))),"")</f>
        <v/>
      </c>
      <c r="J200" s="23" t="str">
        <f aca="false">IFERROR(IF(INDEX(SearchDB!$H$2:$H$2222,MATCH(195,SearchDB!$L$2:$L$2222,0))=0,"",INDEX(SearchDB!$H$2:$H$2222,MATCH(195,SearchDB!$L$2:$L$2222,0))),"")</f>
        <v/>
      </c>
      <c r="K200" s="24"/>
    </row>
    <row r="201" customFormat="false" ht="19.5" hidden="false" customHeight="true" outlineLevel="0" collapsed="false">
      <c r="A201" s="2"/>
      <c r="B201" s="25" t="n">
        <v>196</v>
      </c>
      <c r="C201" s="26" t="str">
        <f aca="false">IFERROR(INDEX(SearchDB!$A$2:$A$2222,MATCH(196,SearchDB!$L$2:$L$2222,0)),"")</f>
        <v/>
      </c>
      <c r="D201" s="26" t="str">
        <f aca="false">IFERROR(INDEX(SearchDB!$B$2:$B$2222,MATCH(196,SearchDB!$L$2:$L$2222,0)),"")</f>
        <v/>
      </c>
      <c r="E201" s="25" t="str">
        <f aca="false">IFERROR(INDEX(SearchDB!$C$2:$C$2222,MATCH(196,SearchDB!$L$2:$L$2222,0)),"")</f>
        <v/>
      </c>
      <c r="F201" s="26" t="str">
        <f aca="false">IFERROR(IF(INDEX(SearchDB!$D$2:$D$2222,MATCH(196,SearchDB!$L$2:$L$2222,0))=0,"",INDEX(SearchDB!$D$2:$D$2222,MATCH(196,SearchDB!$L$2:$L$2222,0))),"")</f>
        <v/>
      </c>
      <c r="G201" s="26" t="str">
        <f aca="false">IFERROR(IF(INDEX(SearchDB!$E$2:$E$2222,MATCH(196,SearchDB!$L$2:$L$2222,0))=0,"",INDEX(SearchDB!$E$2:$E$2222,MATCH(196,SearchDB!$L$2:$L$2222,0))),"")</f>
        <v/>
      </c>
      <c r="H201" s="26" t="str">
        <f aca="false">IFERROR(IF(INDEX(SearchDB!$F$2:$F$2222,MATCH(196,SearchDB!$L$2:$L$2222,0))=0,"",INDEX(SearchDB!$F$2:$F$2222,MATCH(196,SearchDB!$L$2:$L$2222,0))),"")</f>
        <v/>
      </c>
      <c r="I201" s="26" t="str">
        <f aca="false">IFERROR(IF(INDEX(SearchDB!$G$2:$G$2222,MATCH(196,SearchDB!$L$2:$L$2222,0))=0,"",INDEX(SearchDB!$G$2:$G$2222,MATCH(196,SearchDB!$L$2:$L$2222,0))),"")</f>
        <v/>
      </c>
      <c r="J201" s="26" t="str">
        <f aca="false">IFERROR(IF(INDEX(SearchDB!$H$2:$H$2222,MATCH(196,SearchDB!$L$2:$L$2222,0))=0,"",INDEX(SearchDB!$H$2:$H$2222,MATCH(196,SearchDB!$L$2:$L$2222,0))),"")</f>
        <v/>
      </c>
      <c r="K201" s="24"/>
    </row>
    <row r="202" customFormat="false" ht="19.5" hidden="false" customHeight="true" outlineLevel="0" collapsed="false">
      <c r="A202" s="2"/>
      <c r="B202" s="22" t="n">
        <v>197</v>
      </c>
      <c r="C202" s="23" t="str">
        <f aca="false">IFERROR(INDEX(SearchDB!$A$2:$A$2222,MATCH(197,SearchDB!$L$2:$L$2222,0)),"")</f>
        <v/>
      </c>
      <c r="D202" s="23" t="str">
        <f aca="false">IFERROR(INDEX(SearchDB!$B$2:$B$2222,MATCH(197,SearchDB!$L$2:$L$2222,0)),"")</f>
        <v/>
      </c>
      <c r="E202" s="22" t="str">
        <f aca="false">IFERROR(INDEX(SearchDB!$C$2:$C$2222,MATCH(197,SearchDB!$L$2:$L$2222,0)),"")</f>
        <v/>
      </c>
      <c r="F202" s="23" t="str">
        <f aca="false">IFERROR(IF(INDEX(SearchDB!$D$2:$D$2222,MATCH(197,SearchDB!$L$2:$L$2222,0))=0,"",INDEX(SearchDB!$D$2:$D$2222,MATCH(197,SearchDB!$L$2:$L$2222,0))),"")</f>
        <v/>
      </c>
      <c r="G202" s="23" t="str">
        <f aca="false">IFERROR(IF(INDEX(SearchDB!$E$2:$E$2222,MATCH(197,SearchDB!$L$2:$L$2222,0))=0,"",INDEX(SearchDB!$E$2:$E$2222,MATCH(197,SearchDB!$L$2:$L$2222,0))),"")</f>
        <v/>
      </c>
      <c r="H202" s="23" t="str">
        <f aca="false">IFERROR(IF(INDEX(SearchDB!$F$2:$F$2222,MATCH(197,SearchDB!$L$2:$L$2222,0))=0,"",INDEX(SearchDB!$F$2:$F$2222,MATCH(197,SearchDB!$L$2:$L$2222,0))),"")</f>
        <v/>
      </c>
      <c r="I202" s="23" t="str">
        <f aca="false">IFERROR(IF(INDEX(SearchDB!$G$2:$G$2222,MATCH(197,SearchDB!$L$2:$L$2222,0))=0,"",INDEX(SearchDB!$G$2:$G$2222,MATCH(197,SearchDB!$L$2:$L$2222,0))),"")</f>
        <v/>
      </c>
      <c r="J202" s="23" t="str">
        <f aca="false">IFERROR(IF(INDEX(SearchDB!$H$2:$H$2222,MATCH(197,SearchDB!$L$2:$L$2222,0))=0,"",INDEX(SearchDB!$H$2:$H$2222,MATCH(197,SearchDB!$L$2:$L$2222,0))),"")</f>
        <v/>
      </c>
      <c r="K202" s="24"/>
    </row>
    <row r="203" customFormat="false" ht="19.5" hidden="false" customHeight="true" outlineLevel="0" collapsed="false">
      <c r="A203" s="2"/>
      <c r="B203" s="25" t="n">
        <v>198</v>
      </c>
      <c r="C203" s="26" t="str">
        <f aca="false">IFERROR(INDEX(SearchDB!$A$2:$A$2222,MATCH(198,SearchDB!$L$2:$L$2222,0)),"")</f>
        <v/>
      </c>
      <c r="D203" s="26" t="str">
        <f aca="false">IFERROR(INDEX(SearchDB!$B$2:$B$2222,MATCH(198,SearchDB!$L$2:$L$2222,0)),"")</f>
        <v/>
      </c>
      <c r="E203" s="25" t="str">
        <f aca="false">IFERROR(INDEX(SearchDB!$C$2:$C$2222,MATCH(198,SearchDB!$L$2:$L$2222,0)),"")</f>
        <v/>
      </c>
      <c r="F203" s="26" t="str">
        <f aca="false">IFERROR(IF(INDEX(SearchDB!$D$2:$D$2222,MATCH(198,SearchDB!$L$2:$L$2222,0))=0,"",INDEX(SearchDB!$D$2:$D$2222,MATCH(198,SearchDB!$L$2:$L$2222,0))),"")</f>
        <v/>
      </c>
      <c r="G203" s="26" t="str">
        <f aca="false">IFERROR(IF(INDEX(SearchDB!$E$2:$E$2222,MATCH(198,SearchDB!$L$2:$L$2222,0))=0,"",INDEX(SearchDB!$E$2:$E$2222,MATCH(198,SearchDB!$L$2:$L$2222,0))),"")</f>
        <v/>
      </c>
      <c r="H203" s="26" t="str">
        <f aca="false">IFERROR(IF(INDEX(SearchDB!$F$2:$F$2222,MATCH(198,SearchDB!$L$2:$L$2222,0))=0,"",INDEX(SearchDB!$F$2:$F$2222,MATCH(198,SearchDB!$L$2:$L$2222,0))),"")</f>
        <v/>
      </c>
      <c r="I203" s="26" t="str">
        <f aca="false">IFERROR(IF(INDEX(SearchDB!$G$2:$G$2222,MATCH(198,SearchDB!$L$2:$L$2222,0))=0,"",INDEX(SearchDB!$G$2:$G$2222,MATCH(198,SearchDB!$L$2:$L$2222,0))),"")</f>
        <v/>
      </c>
      <c r="J203" s="26" t="str">
        <f aca="false">IFERROR(IF(INDEX(SearchDB!$H$2:$H$2222,MATCH(198,SearchDB!$L$2:$L$2222,0))=0,"",INDEX(SearchDB!$H$2:$H$2222,MATCH(198,SearchDB!$L$2:$L$2222,0))),"")</f>
        <v/>
      </c>
      <c r="K203" s="24"/>
    </row>
    <row r="204" customFormat="false" ht="19.5" hidden="false" customHeight="true" outlineLevel="0" collapsed="false">
      <c r="A204" s="2"/>
      <c r="B204" s="22" t="n">
        <v>199</v>
      </c>
      <c r="C204" s="23" t="str">
        <f aca="false">IFERROR(INDEX(SearchDB!$A$2:$A$2222,MATCH(199,SearchDB!$L$2:$L$2222,0)),"")</f>
        <v/>
      </c>
      <c r="D204" s="23" t="str">
        <f aca="false">IFERROR(INDEX(SearchDB!$B$2:$B$2222,MATCH(199,SearchDB!$L$2:$L$2222,0)),"")</f>
        <v/>
      </c>
      <c r="E204" s="22" t="str">
        <f aca="false">IFERROR(INDEX(SearchDB!$C$2:$C$2222,MATCH(199,SearchDB!$L$2:$L$2222,0)),"")</f>
        <v/>
      </c>
      <c r="F204" s="23" t="str">
        <f aca="false">IFERROR(IF(INDEX(SearchDB!$D$2:$D$2222,MATCH(199,SearchDB!$L$2:$L$2222,0))=0,"",INDEX(SearchDB!$D$2:$D$2222,MATCH(199,SearchDB!$L$2:$L$2222,0))),"")</f>
        <v/>
      </c>
      <c r="G204" s="23" t="str">
        <f aca="false">IFERROR(IF(INDEX(SearchDB!$E$2:$E$2222,MATCH(199,SearchDB!$L$2:$L$2222,0))=0,"",INDEX(SearchDB!$E$2:$E$2222,MATCH(199,SearchDB!$L$2:$L$2222,0))),"")</f>
        <v/>
      </c>
      <c r="H204" s="23" t="str">
        <f aca="false">IFERROR(IF(INDEX(SearchDB!$F$2:$F$2222,MATCH(199,SearchDB!$L$2:$L$2222,0))=0,"",INDEX(SearchDB!$F$2:$F$2222,MATCH(199,SearchDB!$L$2:$L$2222,0))),"")</f>
        <v/>
      </c>
      <c r="I204" s="23" t="str">
        <f aca="false">IFERROR(IF(INDEX(SearchDB!$G$2:$G$2222,MATCH(199,SearchDB!$L$2:$L$2222,0))=0,"",INDEX(SearchDB!$G$2:$G$2222,MATCH(199,SearchDB!$L$2:$L$2222,0))),"")</f>
        <v/>
      </c>
      <c r="J204" s="23" t="str">
        <f aca="false">IFERROR(IF(INDEX(SearchDB!$H$2:$H$2222,MATCH(199,SearchDB!$L$2:$L$2222,0))=0,"",INDEX(SearchDB!$H$2:$H$2222,MATCH(199,SearchDB!$L$2:$L$2222,0))),"")</f>
        <v/>
      </c>
      <c r="K204" s="24"/>
    </row>
    <row r="205" customFormat="false" ht="19.5" hidden="false" customHeight="true" outlineLevel="0" collapsed="false">
      <c r="A205" s="2"/>
      <c r="B205" s="25" t="n">
        <v>200</v>
      </c>
      <c r="C205" s="26" t="str">
        <f aca="false">IFERROR(INDEX(SearchDB!$A$2:$A$2222,MATCH(200,SearchDB!$L$2:$L$2222,0)),"")</f>
        <v/>
      </c>
      <c r="D205" s="26" t="str">
        <f aca="false">IFERROR(INDEX(SearchDB!$B$2:$B$2222,MATCH(200,SearchDB!$L$2:$L$2222,0)),"")</f>
        <v/>
      </c>
      <c r="E205" s="25" t="str">
        <f aca="false">IFERROR(INDEX(SearchDB!$C$2:$C$2222,MATCH(200,SearchDB!$L$2:$L$2222,0)),"")</f>
        <v/>
      </c>
      <c r="F205" s="26" t="str">
        <f aca="false">IFERROR(IF(INDEX(SearchDB!$D$2:$D$2222,MATCH(200,SearchDB!$L$2:$L$2222,0))=0,"",INDEX(SearchDB!$D$2:$D$2222,MATCH(200,SearchDB!$L$2:$L$2222,0))),"")</f>
        <v/>
      </c>
      <c r="G205" s="26" t="str">
        <f aca="false">IFERROR(IF(INDEX(SearchDB!$E$2:$E$2222,MATCH(200,SearchDB!$L$2:$L$2222,0))=0,"",INDEX(SearchDB!$E$2:$E$2222,MATCH(200,SearchDB!$L$2:$L$2222,0))),"")</f>
        <v/>
      </c>
      <c r="H205" s="26" t="str">
        <f aca="false">IFERROR(IF(INDEX(SearchDB!$F$2:$F$2222,MATCH(200,SearchDB!$L$2:$L$2222,0))=0,"",INDEX(SearchDB!$F$2:$F$2222,MATCH(200,SearchDB!$L$2:$L$2222,0))),"")</f>
        <v/>
      </c>
      <c r="I205" s="26" t="str">
        <f aca="false">IFERROR(IF(INDEX(SearchDB!$G$2:$G$2222,MATCH(200,SearchDB!$L$2:$L$2222,0))=0,"",INDEX(SearchDB!$G$2:$G$2222,MATCH(200,SearchDB!$L$2:$L$2222,0))),"")</f>
        <v/>
      </c>
      <c r="J205" s="26" t="str">
        <f aca="false">IFERROR(IF(INDEX(SearchDB!$H$2:$H$2222,MATCH(200,SearchDB!$L$2:$L$2222,0))=0,"",INDEX(SearchDB!$H$2:$H$2222,MATCH(200,SearchDB!$L$2:$L$2222,0))),"")</f>
        <v/>
      </c>
      <c r="K205" s="24"/>
    </row>
  </sheetData>
  <mergeCells count="2">
    <mergeCell ref="B2:K2"/>
    <mergeCell ref="B3:J3"/>
  </mergeCells>
  <hyperlinks>
    <hyperlink ref="B4" location="'Search'!D5" display="← Back to Sear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74D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35" t="s">
        <v>1140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customFormat="false" ht="60" hidden="false" customHeight="true" outlineLevel="0" collapsed="false">
      <c r="A3" s="2"/>
      <c r="B3" s="85" t="s">
        <v>1141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2" t="s">
        <v>1028</v>
      </c>
      <c r="C5" s="224" t="s">
        <v>1029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"/>
      <c r="P5" s="2"/>
    </row>
    <row r="6" customFormat="false" ht="75" hidden="false" customHeight="true" outlineLevel="0" collapsed="false">
      <c r="A6" s="2"/>
      <c r="B6" s="222" t="s">
        <v>632</v>
      </c>
      <c r="C6" s="224" t="s">
        <v>1031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  <c r="P6" s="2"/>
    </row>
    <row r="7" customFormat="false" ht="90" hidden="false" customHeight="true" outlineLevel="0" collapsed="false">
      <c r="A7" s="2"/>
      <c r="B7" s="222" t="s">
        <v>1033</v>
      </c>
      <c r="C7" s="224" t="s">
        <v>1034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"/>
      <c r="P7" s="2"/>
    </row>
    <row r="8" customFormat="false" ht="120" hidden="false" customHeight="true" outlineLevel="0" collapsed="false">
      <c r="A8" s="2"/>
      <c r="B8" s="222" t="s">
        <v>1036</v>
      </c>
      <c r="C8" s="224" t="s">
        <v>1037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120" hidden="false" customHeight="true" outlineLevel="0" collapsed="false">
      <c r="A10" s="2"/>
      <c r="B10" s="236" t="s">
        <v>1142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customFormat="false" ht="45" hidden="false" customHeight="true" outlineLevel="0" collapsed="false">
      <c r="A11" s="2"/>
      <c r="B11" s="237"/>
      <c r="C11" s="238" t="s">
        <v>1040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"/>
      <c r="P11" s="2"/>
    </row>
    <row r="12" customFormat="false" ht="30" hidden="false" customHeight="true" outlineLevel="0" collapsed="false">
      <c r="A12" s="2"/>
      <c r="B12" s="226" t="s">
        <v>1143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39" t="n">
        <v>3</v>
      </c>
      <c r="L12" s="239" t="n">
        <v>4</v>
      </c>
      <c r="M12" s="239" t="n">
        <v>5</v>
      </c>
      <c r="N12" s="239" t="n">
        <v>6</v>
      </c>
      <c r="O12" s="2"/>
      <c r="P12" s="2"/>
    </row>
    <row r="13" customFormat="false" ht="30" hidden="false" customHeight="true" outlineLevel="0" collapsed="false">
      <c r="A13" s="2"/>
      <c r="B13" s="240" t="s">
        <v>1145</v>
      </c>
      <c r="C13" s="241" t="s">
        <v>1048</v>
      </c>
      <c r="D13" s="241" t="s">
        <v>1048</v>
      </c>
      <c r="E13" s="241" t="s">
        <v>1048</v>
      </c>
      <c r="F13" s="241" t="s">
        <v>1048</v>
      </c>
      <c r="G13" s="241" t="s">
        <v>1048</v>
      </c>
      <c r="H13" s="241" t="s">
        <v>1048</v>
      </c>
      <c r="I13" s="242"/>
      <c r="J13" s="242"/>
      <c r="K13" s="242"/>
      <c r="L13" s="242"/>
      <c r="M13" s="242"/>
      <c r="N13" s="242"/>
      <c r="O13" s="2"/>
      <c r="P13" s="2"/>
    </row>
    <row r="14" customFormat="false" ht="30" hidden="false" customHeight="true" outlineLevel="0" collapsed="false">
      <c r="A14" s="2"/>
      <c r="B14" s="243" t="s">
        <v>1047</v>
      </c>
      <c r="C14" s="244" t="s">
        <v>1048</v>
      </c>
      <c r="D14" s="244" t="s">
        <v>1048</v>
      </c>
      <c r="E14" s="244" t="s">
        <v>1048</v>
      </c>
      <c r="F14" s="244" t="s">
        <v>1048</v>
      </c>
      <c r="G14" s="244" t="s">
        <v>1048</v>
      </c>
      <c r="H14" s="244" t="s">
        <v>1048</v>
      </c>
      <c r="I14" s="245"/>
      <c r="J14" s="245"/>
      <c r="K14" s="245"/>
      <c r="L14" s="245"/>
      <c r="M14" s="245"/>
      <c r="N14" s="245"/>
      <c r="O14" s="2"/>
      <c r="P14" s="2"/>
    </row>
    <row r="15" customFormat="false" ht="30" hidden="false" customHeight="true" outlineLevel="0" collapsed="false">
      <c r="A15" s="2"/>
      <c r="B15" s="240" t="s">
        <v>1050</v>
      </c>
      <c r="C15" s="241" t="s">
        <v>1048</v>
      </c>
      <c r="D15" s="241" t="s">
        <v>1048</v>
      </c>
      <c r="E15" s="241" t="s">
        <v>1048</v>
      </c>
      <c r="F15" s="241" t="s">
        <v>1048</v>
      </c>
      <c r="G15" s="241" t="s">
        <v>1048</v>
      </c>
      <c r="H15" s="241" t="s">
        <v>1048</v>
      </c>
      <c r="I15" s="242"/>
      <c r="J15" s="242"/>
      <c r="K15" s="242"/>
      <c r="L15" s="242"/>
      <c r="M15" s="242"/>
      <c r="N15" s="242"/>
      <c r="O15" s="2"/>
      <c r="P15" s="2"/>
    </row>
    <row r="16" customFormat="false" ht="30" hidden="false" customHeight="true" outlineLevel="0" collapsed="false">
      <c r="A16" s="2"/>
      <c r="B16" s="243" t="s">
        <v>1148</v>
      </c>
      <c r="C16" s="244" t="s">
        <v>1048</v>
      </c>
      <c r="D16" s="244" t="s">
        <v>1048</v>
      </c>
      <c r="E16" s="244" t="s">
        <v>1048</v>
      </c>
      <c r="F16" s="244" t="s">
        <v>1048</v>
      </c>
      <c r="G16" s="244" t="s">
        <v>1048</v>
      </c>
      <c r="H16" s="244" t="s">
        <v>1048</v>
      </c>
      <c r="I16" s="245"/>
      <c r="J16" s="245"/>
      <c r="K16" s="245"/>
      <c r="L16" s="245"/>
      <c r="M16" s="245"/>
      <c r="N16" s="245"/>
      <c r="O16" s="2"/>
      <c r="P16" s="2"/>
    </row>
    <row r="17" customFormat="false" ht="45" hidden="false" customHeight="true" outlineLevel="0" collapsed="false">
      <c r="A17" s="2"/>
      <c r="B17" s="240" t="s">
        <v>1052</v>
      </c>
      <c r="C17" s="241" t="s">
        <v>1048</v>
      </c>
      <c r="D17" s="241" t="s">
        <v>1048</v>
      </c>
      <c r="E17" s="241" t="s">
        <v>1048</v>
      </c>
      <c r="F17" s="241" t="s">
        <v>1048</v>
      </c>
      <c r="G17" s="241" t="s">
        <v>1048</v>
      </c>
      <c r="H17" s="241" t="s">
        <v>1048</v>
      </c>
      <c r="I17" s="242"/>
      <c r="J17" s="242"/>
      <c r="K17" s="242"/>
      <c r="L17" s="242"/>
      <c r="M17" s="242"/>
      <c r="N17" s="242"/>
      <c r="O17" s="2"/>
      <c r="P17" s="220" t="s">
        <v>5877</v>
      </c>
    </row>
    <row r="18" customFormat="false" ht="30" hidden="false" customHeight="true" outlineLevel="0" collapsed="false">
      <c r="A18" s="2"/>
      <c r="B18" s="243" t="s">
        <v>1054</v>
      </c>
      <c r="C18" s="244" t="s">
        <v>1048</v>
      </c>
      <c r="D18" s="244" t="s">
        <v>1048</v>
      </c>
      <c r="E18" s="244" t="s">
        <v>1048</v>
      </c>
      <c r="F18" s="244" t="s">
        <v>1048</v>
      </c>
      <c r="G18" s="244" t="s">
        <v>1048</v>
      </c>
      <c r="H18" s="244" t="s">
        <v>1048</v>
      </c>
      <c r="I18" s="245"/>
      <c r="J18" s="245"/>
      <c r="K18" s="245"/>
      <c r="L18" s="245"/>
      <c r="M18" s="245"/>
      <c r="N18" s="245"/>
      <c r="O18" s="2"/>
      <c r="P18" s="2"/>
    </row>
    <row r="19" customFormat="false" ht="30" hidden="false" customHeight="true" outlineLevel="0" collapsed="false">
      <c r="A19" s="2"/>
      <c r="B19" s="240" t="s">
        <v>1150</v>
      </c>
      <c r="C19" s="241" t="s">
        <v>1048</v>
      </c>
      <c r="D19" s="241" t="s">
        <v>1048</v>
      </c>
      <c r="E19" s="241" t="s">
        <v>1048</v>
      </c>
      <c r="F19" s="241" t="s">
        <v>1048</v>
      </c>
      <c r="G19" s="241" t="s">
        <v>1048</v>
      </c>
      <c r="H19" s="241" t="s">
        <v>1048</v>
      </c>
      <c r="I19" s="242"/>
      <c r="J19" s="242"/>
      <c r="K19" s="242"/>
      <c r="L19" s="242"/>
      <c r="M19" s="242"/>
      <c r="N19" s="242"/>
      <c r="O19" s="2"/>
      <c r="P19" s="2"/>
    </row>
    <row r="20" customFormat="false" ht="30" hidden="false" customHeight="true" outlineLevel="0" collapsed="false">
      <c r="A20" s="2"/>
      <c r="B20" s="243" t="s">
        <v>1152</v>
      </c>
      <c r="C20" s="244" t="s">
        <v>1048</v>
      </c>
      <c r="D20" s="244" t="s">
        <v>1048</v>
      </c>
      <c r="E20" s="244" t="s">
        <v>1048</v>
      </c>
      <c r="F20" s="244" t="s">
        <v>1048</v>
      </c>
      <c r="G20" s="244" t="s">
        <v>1048</v>
      </c>
      <c r="H20" s="244" t="s">
        <v>1048</v>
      </c>
      <c r="I20" s="245"/>
      <c r="J20" s="245"/>
      <c r="K20" s="245"/>
      <c r="L20" s="245"/>
      <c r="M20" s="245"/>
      <c r="N20" s="245"/>
      <c r="O20" s="2"/>
      <c r="P20" s="2"/>
    </row>
    <row r="21" customFormat="false" ht="30" hidden="false" customHeight="true" outlineLevel="0" collapsed="false">
      <c r="A21" s="2"/>
      <c r="B21" s="240" t="s">
        <v>1154</v>
      </c>
      <c r="C21" s="241" t="s">
        <v>1048</v>
      </c>
      <c r="D21" s="241" t="s">
        <v>1048</v>
      </c>
      <c r="E21" s="241" t="s">
        <v>1048</v>
      </c>
      <c r="F21" s="241" t="s">
        <v>1048</v>
      </c>
      <c r="G21" s="241" t="s">
        <v>1048</v>
      </c>
      <c r="H21" s="241" t="s">
        <v>1048</v>
      </c>
      <c r="I21" s="242"/>
      <c r="J21" s="242"/>
      <c r="K21" s="242"/>
      <c r="L21" s="242"/>
      <c r="M21" s="242"/>
      <c r="N21" s="242"/>
      <c r="O21" s="2"/>
      <c r="P21" s="2"/>
    </row>
    <row r="22" customFormat="false" ht="30" hidden="false" customHeight="true" outlineLevel="0" collapsed="false">
      <c r="A22" s="2"/>
      <c r="B22" s="243" t="s">
        <v>1056</v>
      </c>
      <c r="C22" s="244" t="s">
        <v>1048</v>
      </c>
      <c r="D22" s="244" t="s">
        <v>1048</v>
      </c>
      <c r="E22" s="244" t="s">
        <v>1048</v>
      </c>
      <c r="F22" s="244" t="s">
        <v>1048</v>
      </c>
      <c r="G22" s="244" t="s">
        <v>1048</v>
      </c>
      <c r="H22" s="244" t="s">
        <v>1048</v>
      </c>
      <c r="I22" s="245"/>
      <c r="J22" s="245"/>
      <c r="K22" s="245"/>
      <c r="L22" s="245"/>
      <c r="M22" s="245"/>
      <c r="N22" s="245"/>
      <c r="O22" s="2"/>
      <c r="P22" s="2"/>
    </row>
    <row r="23" customFormat="false" ht="30" hidden="false" customHeight="true" outlineLevel="0" collapsed="false">
      <c r="A23" s="2"/>
      <c r="B23" s="240" t="s">
        <v>1058</v>
      </c>
      <c r="C23" s="241" t="s">
        <v>1048</v>
      </c>
      <c r="D23" s="241" t="s">
        <v>1048</v>
      </c>
      <c r="E23" s="241" t="s">
        <v>1048</v>
      </c>
      <c r="F23" s="241" t="s">
        <v>1048</v>
      </c>
      <c r="G23" s="241" t="s">
        <v>1048</v>
      </c>
      <c r="H23" s="241" t="s">
        <v>1048</v>
      </c>
      <c r="I23" s="242"/>
      <c r="J23" s="242"/>
      <c r="K23" s="242"/>
      <c r="L23" s="242"/>
      <c r="M23" s="242"/>
      <c r="N23" s="242"/>
      <c r="O23" s="2"/>
      <c r="P23" s="2"/>
    </row>
    <row r="24" customFormat="false" ht="30" hidden="false" customHeight="true" outlineLevel="0" collapsed="false">
      <c r="A24" s="2"/>
      <c r="B24" s="243" t="s">
        <v>1157</v>
      </c>
      <c r="C24" s="244" t="s">
        <v>1048</v>
      </c>
      <c r="D24" s="244" t="s">
        <v>1048</v>
      </c>
      <c r="E24" s="244" t="s">
        <v>1048</v>
      </c>
      <c r="F24" s="244" t="s">
        <v>1048</v>
      </c>
      <c r="G24" s="244" t="s">
        <v>1048</v>
      </c>
      <c r="H24" s="244" t="s">
        <v>1048</v>
      </c>
      <c r="I24" s="244" t="s">
        <v>1048</v>
      </c>
      <c r="J24" s="246" t="s">
        <v>5875</v>
      </c>
      <c r="K24" s="244" t="s">
        <v>1048</v>
      </c>
      <c r="L24" s="245"/>
      <c r="M24" s="245"/>
      <c r="N24" s="245"/>
      <c r="O24" s="2"/>
      <c r="P24" s="2"/>
    </row>
    <row r="25" customFormat="false" ht="30" hidden="false" customHeight="true" outlineLevel="0" collapsed="false">
      <c r="A25" s="2"/>
      <c r="B25" s="240" t="s">
        <v>1159</v>
      </c>
      <c r="C25" s="241" t="s">
        <v>1048</v>
      </c>
      <c r="D25" s="241" t="s">
        <v>1048</v>
      </c>
      <c r="E25" s="241" t="s">
        <v>1048</v>
      </c>
      <c r="F25" s="241" t="s">
        <v>1048</v>
      </c>
      <c r="G25" s="241" t="s">
        <v>1048</v>
      </c>
      <c r="H25" s="241" t="s">
        <v>1048</v>
      </c>
      <c r="I25" s="241" t="s">
        <v>1048</v>
      </c>
      <c r="J25" s="247" t="s">
        <v>5875</v>
      </c>
      <c r="K25" s="242"/>
      <c r="L25" s="242"/>
      <c r="M25" s="242"/>
      <c r="N25" s="242"/>
      <c r="O25" s="2"/>
      <c r="P25" s="2"/>
    </row>
    <row r="26" customFormat="false" ht="30" hidden="false" customHeight="true" outlineLevel="0" collapsed="false">
      <c r="A26" s="2"/>
      <c r="B26" s="243" t="s">
        <v>1060</v>
      </c>
      <c r="C26" s="244" t="s">
        <v>1048</v>
      </c>
      <c r="D26" s="244" t="s">
        <v>1048</v>
      </c>
      <c r="E26" s="244" t="s">
        <v>1048</v>
      </c>
      <c r="F26" s="244" t="s">
        <v>1048</v>
      </c>
      <c r="G26" s="244" t="s">
        <v>1048</v>
      </c>
      <c r="H26" s="244" t="s">
        <v>1048</v>
      </c>
      <c r="I26" s="244" t="s">
        <v>1048</v>
      </c>
      <c r="J26" s="246" t="s">
        <v>5875</v>
      </c>
      <c r="K26" s="245"/>
      <c r="L26" s="245"/>
      <c r="M26" s="245"/>
      <c r="N26" s="245"/>
      <c r="O26" s="2"/>
      <c r="P26" s="2"/>
    </row>
    <row r="27" customFormat="false" ht="30" hidden="false" customHeight="true" outlineLevel="0" collapsed="false">
      <c r="A27" s="2"/>
      <c r="B27" s="240" t="s">
        <v>1061</v>
      </c>
      <c r="C27" s="242"/>
      <c r="D27" s="241" t="s">
        <v>1048</v>
      </c>
      <c r="E27" s="241" t="s">
        <v>1048</v>
      </c>
      <c r="F27" s="241" t="s">
        <v>1048</v>
      </c>
      <c r="G27" s="241" t="s">
        <v>1048</v>
      </c>
      <c r="H27" s="241" t="s">
        <v>1048</v>
      </c>
      <c r="I27" s="241" t="s">
        <v>1048</v>
      </c>
      <c r="J27" s="247" t="s">
        <v>5875</v>
      </c>
      <c r="K27" s="242"/>
      <c r="L27" s="242"/>
      <c r="M27" s="242"/>
      <c r="N27" s="242"/>
      <c r="O27" s="2"/>
      <c r="P27" s="2"/>
    </row>
    <row r="28" customFormat="false" ht="30" hidden="false" customHeight="true" outlineLevel="0" collapsed="false">
      <c r="A28" s="2"/>
      <c r="B28" s="243" t="s">
        <v>1063</v>
      </c>
      <c r="C28" s="244" t="s">
        <v>1048</v>
      </c>
      <c r="D28" s="245"/>
      <c r="E28" s="244" t="s">
        <v>1048</v>
      </c>
      <c r="F28" s="244" t="s">
        <v>1048</v>
      </c>
      <c r="G28" s="244" t="s">
        <v>1048</v>
      </c>
      <c r="H28" s="244" t="s">
        <v>1048</v>
      </c>
      <c r="I28" s="244" t="s">
        <v>1048</v>
      </c>
      <c r="J28" s="246" t="s">
        <v>5875</v>
      </c>
      <c r="K28" s="245"/>
      <c r="L28" s="245"/>
      <c r="M28" s="245"/>
      <c r="N28" s="245"/>
      <c r="O28" s="2"/>
      <c r="P28" s="2"/>
    </row>
    <row r="29" customFormat="false" ht="30" hidden="false" customHeight="true" outlineLevel="0" collapsed="false">
      <c r="A29" s="2"/>
      <c r="B29" s="240" t="s">
        <v>1164</v>
      </c>
      <c r="C29" s="242"/>
      <c r="D29" s="241" t="s">
        <v>1048</v>
      </c>
      <c r="E29" s="241" t="s">
        <v>1048</v>
      </c>
      <c r="F29" s="241" t="s">
        <v>1048</v>
      </c>
      <c r="G29" s="241" t="s">
        <v>1048</v>
      </c>
      <c r="H29" s="241" t="s">
        <v>1048</v>
      </c>
      <c r="I29" s="241" t="s">
        <v>1048</v>
      </c>
      <c r="J29" s="247" t="s">
        <v>5875</v>
      </c>
      <c r="K29" s="242"/>
      <c r="L29" s="242"/>
      <c r="M29" s="242"/>
      <c r="N29" s="242"/>
      <c r="O29" s="2"/>
      <c r="P29" s="2"/>
    </row>
    <row r="30" customFormat="false" ht="30" hidden="false" customHeight="true" outlineLevel="0" collapsed="false">
      <c r="A30" s="2"/>
      <c r="B30" s="243" t="s">
        <v>1166</v>
      </c>
      <c r="C30" s="245"/>
      <c r="D30" s="244" t="s">
        <v>1048</v>
      </c>
      <c r="E30" s="244" t="s">
        <v>1048</v>
      </c>
      <c r="F30" s="244" t="s">
        <v>1048</v>
      </c>
      <c r="G30" s="244" t="s">
        <v>1048</v>
      </c>
      <c r="H30" s="244" t="s">
        <v>1048</v>
      </c>
      <c r="I30" s="244" t="s">
        <v>1048</v>
      </c>
      <c r="J30" s="246" t="s">
        <v>5875</v>
      </c>
      <c r="K30" s="245"/>
      <c r="L30" s="245"/>
      <c r="M30" s="245"/>
      <c r="N30" s="245"/>
      <c r="O30" s="2"/>
      <c r="P30" s="2"/>
    </row>
    <row r="31" customFormat="false" ht="30" hidden="false" customHeight="true" outlineLevel="0" collapsed="false">
      <c r="A31" s="2"/>
      <c r="B31" s="240" t="s">
        <v>1168</v>
      </c>
      <c r="C31" s="242"/>
      <c r="D31" s="241" t="s">
        <v>1048</v>
      </c>
      <c r="E31" s="242"/>
      <c r="F31" s="241" t="s">
        <v>1048</v>
      </c>
      <c r="G31" s="241" t="s">
        <v>1048</v>
      </c>
      <c r="H31" s="241" t="s">
        <v>1048</v>
      </c>
      <c r="I31" s="241" t="s">
        <v>1048</v>
      </c>
      <c r="J31" s="247" t="s">
        <v>5875</v>
      </c>
      <c r="K31" s="242"/>
      <c r="L31" s="242"/>
      <c r="M31" s="242"/>
      <c r="N31" s="242"/>
      <c r="O31" s="2"/>
      <c r="P31" s="2"/>
    </row>
    <row r="32" customFormat="false" ht="30" hidden="false" customHeight="true" outlineLevel="0" collapsed="false">
      <c r="A32" s="2"/>
      <c r="B32" s="243" t="s">
        <v>1170</v>
      </c>
      <c r="C32" s="245"/>
      <c r="D32" s="244" t="s">
        <v>1048</v>
      </c>
      <c r="E32" s="244" t="s">
        <v>1048</v>
      </c>
      <c r="F32" s="244" t="s">
        <v>1048</v>
      </c>
      <c r="G32" s="244" t="s">
        <v>1048</v>
      </c>
      <c r="H32" s="244" t="s">
        <v>1048</v>
      </c>
      <c r="I32" s="244" t="s">
        <v>1048</v>
      </c>
      <c r="J32" s="246" t="s">
        <v>5875</v>
      </c>
      <c r="K32" s="245"/>
      <c r="L32" s="245"/>
      <c r="M32" s="245"/>
      <c r="N32" s="245"/>
      <c r="O32" s="2"/>
      <c r="P32" s="2"/>
    </row>
    <row r="33" customFormat="false" ht="30" hidden="false" customHeight="true" outlineLevel="0" collapsed="false">
      <c r="A33" s="2"/>
      <c r="B33" s="240" t="s">
        <v>1172</v>
      </c>
      <c r="C33" s="242"/>
      <c r="D33" s="241" t="s">
        <v>1048</v>
      </c>
      <c r="E33" s="241" t="s">
        <v>1048</v>
      </c>
      <c r="F33" s="241" t="s">
        <v>1048</v>
      </c>
      <c r="G33" s="241" t="s">
        <v>1048</v>
      </c>
      <c r="H33" s="241" t="s">
        <v>1048</v>
      </c>
      <c r="I33" s="241" t="s">
        <v>1048</v>
      </c>
      <c r="J33" s="247" t="s">
        <v>5875</v>
      </c>
      <c r="K33" s="242"/>
      <c r="L33" s="242"/>
      <c r="M33" s="242"/>
      <c r="N33" s="242"/>
      <c r="O33" s="2"/>
      <c r="P33" s="2"/>
    </row>
    <row r="34" customFormat="false" ht="30" hidden="false" customHeight="true" outlineLevel="0" collapsed="false">
      <c r="A34" s="2"/>
      <c r="B34" s="243" t="s">
        <v>1065</v>
      </c>
      <c r="C34" s="245"/>
      <c r="D34" s="245"/>
      <c r="E34" s="244" t="s">
        <v>1048</v>
      </c>
      <c r="F34" s="244" t="s">
        <v>1048</v>
      </c>
      <c r="G34" s="244" t="s">
        <v>1048</v>
      </c>
      <c r="H34" s="244" t="s">
        <v>1048</v>
      </c>
      <c r="I34" s="244" t="s">
        <v>1048</v>
      </c>
      <c r="J34" s="246" t="s">
        <v>5875</v>
      </c>
      <c r="K34" s="245"/>
      <c r="L34" s="245"/>
      <c r="M34" s="245"/>
      <c r="N34" s="245"/>
      <c r="O34" s="2"/>
      <c r="P34" s="2"/>
    </row>
    <row r="35" customFormat="false" ht="30" hidden="false" customHeight="true" outlineLevel="0" collapsed="false">
      <c r="A35" s="2"/>
      <c r="B35" s="240" t="s">
        <v>1067</v>
      </c>
      <c r="C35" s="242"/>
      <c r="D35" s="242"/>
      <c r="E35" s="242"/>
      <c r="F35" s="241" t="s">
        <v>1048</v>
      </c>
      <c r="G35" s="241" t="s">
        <v>1048</v>
      </c>
      <c r="H35" s="241" t="s">
        <v>1048</v>
      </c>
      <c r="I35" s="241" t="s">
        <v>1048</v>
      </c>
      <c r="J35" s="247" t="s">
        <v>5875</v>
      </c>
      <c r="K35" s="242"/>
      <c r="L35" s="242"/>
      <c r="M35" s="242"/>
      <c r="N35" s="242"/>
      <c r="O35" s="2"/>
      <c r="P35" s="2"/>
    </row>
    <row r="36" customFormat="false" ht="30" hidden="false" customHeight="true" outlineLevel="0" collapsed="false">
      <c r="A36" s="2"/>
      <c r="B36" s="243" t="s">
        <v>1175</v>
      </c>
      <c r="C36" s="245"/>
      <c r="D36" s="245"/>
      <c r="E36" s="245"/>
      <c r="F36" s="244" t="s">
        <v>1048</v>
      </c>
      <c r="G36" s="244" t="s">
        <v>1048</v>
      </c>
      <c r="H36" s="244" t="s">
        <v>1048</v>
      </c>
      <c r="I36" s="244" t="s">
        <v>1048</v>
      </c>
      <c r="J36" s="246" t="s">
        <v>5875</v>
      </c>
      <c r="K36" s="245"/>
      <c r="L36" s="245"/>
      <c r="M36" s="245"/>
      <c r="N36" s="245"/>
      <c r="O36" s="2"/>
      <c r="P36" s="2"/>
    </row>
    <row r="37" customFormat="false" ht="30" hidden="false" customHeight="true" outlineLevel="0" collapsed="false">
      <c r="A37" s="2"/>
      <c r="B37" s="240" t="s">
        <v>1177</v>
      </c>
      <c r="C37" s="242"/>
      <c r="D37" s="242"/>
      <c r="E37" s="242"/>
      <c r="F37" s="241" t="s">
        <v>1048</v>
      </c>
      <c r="G37" s="241" t="s">
        <v>1048</v>
      </c>
      <c r="H37" s="241" t="s">
        <v>1048</v>
      </c>
      <c r="I37" s="241" t="s">
        <v>1048</v>
      </c>
      <c r="J37" s="247" t="s">
        <v>5875</v>
      </c>
      <c r="K37" s="242"/>
      <c r="L37" s="242"/>
      <c r="M37" s="242"/>
      <c r="N37" s="242"/>
      <c r="O37" s="2"/>
      <c r="P37" s="2"/>
    </row>
    <row r="38" customFormat="false" ht="30" hidden="false" customHeight="true" outlineLevel="0" collapsed="false">
      <c r="A38" s="2"/>
      <c r="B38" s="243" t="s">
        <v>1179</v>
      </c>
      <c r="C38" s="245"/>
      <c r="D38" s="245"/>
      <c r="E38" s="245"/>
      <c r="F38" s="244" t="s">
        <v>1048</v>
      </c>
      <c r="G38" s="244" t="s">
        <v>1048</v>
      </c>
      <c r="H38" s="244" t="s">
        <v>1048</v>
      </c>
      <c r="I38" s="244" t="s">
        <v>1048</v>
      </c>
      <c r="J38" s="246" t="s">
        <v>5875</v>
      </c>
      <c r="K38" s="245"/>
      <c r="L38" s="245"/>
      <c r="M38" s="245"/>
      <c r="N38" s="245"/>
      <c r="O38" s="2"/>
      <c r="P38" s="2"/>
    </row>
    <row r="39" customFormat="false" ht="30" hidden="false" customHeight="true" outlineLevel="0" collapsed="false">
      <c r="A39" s="2"/>
      <c r="B39" s="240" t="s">
        <v>1181</v>
      </c>
      <c r="C39" s="242"/>
      <c r="D39" s="242"/>
      <c r="E39" s="242"/>
      <c r="F39" s="241" t="s">
        <v>1048</v>
      </c>
      <c r="G39" s="241" t="s">
        <v>1048</v>
      </c>
      <c r="H39" s="241" t="s">
        <v>1048</v>
      </c>
      <c r="I39" s="241" t="s">
        <v>1048</v>
      </c>
      <c r="J39" s="247" t="s">
        <v>5875</v>
      </c>
      <c r="K39" s="242"/>
      <c r="L39" s="242"/>
      <c r="M39" s="242"/>
      <c r="N39" s="242"/>
      <c r="O39" s="2"/>
      <c r="P39" s="2"/>
    </row>
    <row r="40" customFormat="false" ht="30" hidden="false" customHeight="true" outlineLevel="0" collapsed="false">
      <c r="A40" s="2"/>
      <c r="B40" s="243" t="s">
        <v>1183</v>
      </c>
      <c r="C40" s="245"/>
      <c r="D40" s="245"/>
      <c r="E40" s="245"/>
      <c r="F40" s="244" t="s">
        <v>1048</v>
      </c>
      <c r="G40" s="244" t="s">
        <v>1048</v>
      </c>
      <c r="H40" s="244" t="s">
        <v>1048</v>
      </c>
      <c r="I40" s="244" t="s">
        <v>1048</v>
      </c>
      <c r="J40" s="246" t="s">
        <v>5875</v>
      </c>
      <c r="K40" s="245"/>
      <c r="L40" s="245"/>
      <c r="M40" s="245"/>
      <c r="N40" s="245"/>
      <c r="O40" s="2"/>
      <c r="P40" s="2"/>
    </row>
    <row r="41" customFormat="false" ht="30" hidden="false" customHeight="true" outlineLevel="0" collapsed="false">
      <c r="A41" s="2"/>
      <c r="B41" s="240" t="s">
        <v>1069</v>
      </c>
      <c r="C41" s="242"/>
      <c r="D41" s="242"/>
      <c r="E41" s="242"/>
      <c r="F41" s="241" t="s">
        <v>1048</v>
      </c>
      <c r="G41" s="241" t="s">
        <v>1048</v>
      </c>
      <c r="H41" s="241" t="s">
        <v>1048</v>
      </c>
      <c r="I41" s="241" t="s">
        <v>1048</v>
      </c>
      <c r="J41" s="247" t="s">
        <v>5875</v>
      </c>
      <c r="K41" s="242"/>
      <c r="L41" s="242"/>
      <c r="M41" s="242"/>
      <c r="N41" s="242"/>
      <c r="O41" s="2"/>
      <c r="P41" s="2"/>
    </row>
    <row r="42" customFormat="false" ht="30" hidden="false" customHeight="true" outlineLevel="0" collapsed="false">
      <c r="A42" s="2"/>
      <c r="B42" s="243" t="s">
        <v>1071</v>
      </c>
      <c r="C42" s="245"/>
      <c r="D42" s="245"/>
      <c r="E42" s="245"/>
      <c r="F42" s="244" t="s">
        <v>1048</v>
      </c>
      <c r="G42" s="244" t="s">
        <v>1048</v>
      </c>
      <c r="H42" s="244" t="s">
        <v>1048</v>
      </c>
      <c r="I42" s="244" t="s">
        <v>1048</v>
      </c>
      <c r="J42" s="246" t="s">
        <v>5875</v>
      </c>
      <c r="K42" s="245"/>
      <c r="L42" s="245"/>
      <c r="M42" s="245"/>
      <c r="N42" s="245"/>
      <c r="O42" s="2"/>
      <c r="P42" s="2"/>
    </row>
    <row r="43" customFormat="false" ht="30" hidden="false" customHeight="true" outlineLevel="0" collapsed="false">
      <c r="A43" s="2"/>
      <c r="B43" s="240" t="s">
        <v>1187</v>
      </c>
      <c r="C43" s="242"/>
      <c r="D43" s="242"/>
      <c r="E43" s="242"/>
      <c r="F43" s="241" t="s">
        <v>1048</v>
      </c>
      <c r="G43" s="241" t="s">
        <v>1048</v>
      </c>
      <c r="H43" s="241" t="s">
        <v>1048</v>
      </c>
      <c r="I43" s="241" t="s">
        <v>1048</v>
      </c>
      <c r="J43" s="247" t="s">
        <v>5875</v>
      </c>
      <c r="K43" s="242"/>
      <c r="L43" s="242"/>
      <c r="M43" s="242"/>
      <c r="N43" s="242"/>
      <c r="O43" s="2"/>
      <c r="P43" s="2"/>
    </row>
    <row r="44" customFormat="false" ht="30" hidden="false" customHeight="true" outlineLevel="0" collapsed="false">
      <c r="A44" s="2"/>
      <c r="B44" s="243" t="s">
        <v>1189</v>
      </c>
      <c r="C44" s="245"/>
      <c r="D44" s="245"/>
      <c r="E44" s="245"/>
      <c r="F44" s="244" t="s">
        <v>1048</v>
      </c>
      <c r="G44" s="244" t="s">
        <v>1048</v>
      </c>
      <c r="H44" s="244" t="s">
        <v>1048</v>
      </c>
      <c r="I44" s="244" t="s">
        <v>1048</v>
      </c>
      <c r="J44" s="246" t="s">
        <v>5875</v>
      </c>
      <c r="K44" s="245"/>
      <c r="L44" s="245"/>
      <c r="M44" s="245"/>
      <c r="N44" s="245"/>
      <c r="O44" s="2"/>
      <c r="P44" s="2"/>
    </row>
    <row r="45" customFormat="false" ht="30" hidden="false" customHeight="true" outlineLevel="0" collapsed="false">
      <c r="A45" s="2"/>
      <c r="B45" s="240" t="s">
        <v>1191</v>
      </c>
      <c r="C45" s="242"/>
      <c r="D45" s="242"/>
      <c r="E45" s="242"/>
      <c r="F45" s="241" t="s">
        <v>1048</v>
      </c>
      <c r="G45" s="241" t="s">
        <v>1048</v>
      </c>
      <c r="H45" s="241" t="s">
        <v>1048</v>
      </c>
      <c r="I45" s="241" t="s">
        <v>1048</v>
      </c>
      <c r="J45" s="247" t="s">
        <v>5875</v>
      </c>
      <c r="K45" s="242"/>
      <c r="L45" s="242"/>
      <c r="M45" s="242"/>
      <c r="N45" s="242"/>
      <c r="O45" s="2"/>
      <c r="P45" s="2"/>
    </row>
    <row r="46" customFormat="false" ht="30" hidden="false" customHeight="true" outlineLevel="0" collapsed="false">
      <c r="A46" s="2"/>
      <c r="B46" s="243" t="s">
        <v>1193</v>
      </c>
      <c r="C46" s="245"/>
      <c r="D46" s="245"/>
      <c r="E46" s="245"/>
      <c r="F46" s="244" t="s">
        <v>1048</v>
      </c>
      <c r="G46" s="244" t="s">
        <v>1048</v>
      </c>
      <c r="H46" s="244" t="s">
        <v>1048</v>
      </c>
      <c r="I46" s="244" t="s">
        <v>1048</v>
      </c>
      <c r="J46" s="246" t="s">
        <v>5875</v>
      </c>
      <c r="K46" s="245"/>
      <c r="L46" s="245"/>
      <c r="M46" s="245"/>
      <c r="N46" s="245"/>
      <c r="O46" s="2"/>
      <c r="P46" s="2"/>
    </row>
    <row r="47" customFormat="false" ht="30" hidden="false" customHeight="true" outlineLevel="0" collapsed="false">
      <c r="A47" s="2"/>
      <c r="B47" s="240" t="s">
        <v>1195</v>
      </c>
      <c r="C47" s="242"/>
      <c r="D47" s="242"/>
      <c r="E47" s="242"/>
      <c r="F47" s="241" t="s">
        <v>1048</v>
      </c>
      <c r="G47" s="241" t="s">
        <v>1048</v>
      </c>
      <c r="H47" s="241" t="s">
        <v>1048</v>
      </c>
      <c r="I47" s="241" t="s">
        <v>1048</v>
      </c>
      <c r="J47" s="247" t="s">
        <v>5875</v>
      </c>
      <c r="K47" s="242"/>
      <c r="L47" s="242"/>
      <c r="M47" s="242"/>
      <c r="N47" s="242"/>
      <c r="O47" s="2"/>
      <c r="P47" s="2"/>
    </row>
    <row r="48" customFormat="false" ht="30" hidden="false" customHeight="true" outlineLevel="0" collapsed="false">
      <c r="A48" s="2"/>
      <c r="B48" s="243" t="s">
        <v>1197</v>
      </c>
      <c r="C48" s="245"/>
      <c r="D48" s="245"/>
      <c r="E48" s="245"/>
      <c r="F48" s="244" t="s">
        <v>1048</v>
      </c>
      <c r="G48" s="244" t="s">
        <v>1048</v>
      </c>
      <c r="H48" s="244" t="s">
        <v>1048</v>
      </c>
      <c r="I48" s="244" t="s">
        <v>1048</v>
      </c>
      <c r="J48" s="246" t="s">
        <v>5875</v>
      </c>
      <c r="K48" s="245"/>
      <c r="L48" s="245"/>
      <c r="M48" s="245"/>
      <c r="N48" s="245"/>
      <c r="O48" s="2"/>
      <c r="P48" s="2"/>
    </row>
    <row r="49" customFormat="false" ht="30" hidden="false" customHeight="true" outlineLevel="0" collapsed="false">
      <c r="A49" s="2"/>
      <c r="B49" s="240" t="s">
        <v>1073</v>
      </c>
      <c r="C49" s="242"/>
      <c r="D49" s="242"/>
      <c r="E49" s="242"/>
      <c r="F49" s="241" t="s">
        <v>1048</v>
      </c>
      <c r="G49" s="241" t="s">
        <v>1048</v>
      </c>
      <c r="H49" s="241" t="s">
        <v>1048</v>
      </c>
      <c r="I49" s="241" t="s">
        <v>1048</v>
      </c>
      <c r="J49" s="247" t="s">
        <v>5875</v>
      </c>
      <c r="K49" s="242"/>
      <c r="L49" s="242"/>
      <c r="M49" s="242"/>
      <c r="N49" s="242"/>
      <c r="O49" s="2"/>
      <c r="P49" s="2"/>
    </row>
    <row r="50" customFormat="false" ht="30" hidden="false" customHeight="true" outlineLevel="0" collapsed="false">
      <c r="A50" s="2"/>
      <c r="B50" s="243" t="s">
        <v>1075</v>
      </c>
      <c r="C50" s="245"/>
      <c r="D50" s="245"/>
      <c r="E50" s="245"/>
      <c r="F50" s="244" t="s">
        <v>1048</v>
      </c>
      <c r="G50" s="244" t="s">
        <v>1048</v>
      </c>
      <c r="H50" s="244" t="s">
        <v>1048</v>
      </c>
      <c r="I50" s="244" t="s">
        <v>1048</v>
      </c>
      <c r="J50" s="246" t="s">
        <v>5875</v>
      </c>
      <c r="K50" s="245"/>
      <c r="L50" s="245"/>
      <c r="M50" s="245"/>
      <c r="N50" s="245"/>
      <c r="O50" s="2"/>
      <c r="P50" s="2"/>
    </row>
    <row r="51" customFormat="false" ht="30" hidden="false" customHeight="true" outlineLevel="0" collapsed="false">
      <c r="A51" s="2"/>
      <c r="B51" s="240" t="s">
        <v>1201</v>
      </c>
      <c r="C51" s="242"/>
      <c r="D51" s="242"/>
      <c r="E51" s="242"/>
      <c r="F51" s="241" t="s">
        <v>1048</v>
      </c>
      <c r="G51" s="241" t="s">
        <v>1048</v>
      </c>
      <c r="H51" s="241" t="s">
        <v>1048</v>
      </c>
      <c r="I51" s="241" t="s">
        <v>1048</v>
      </c>
      <c r="J51" s="247" t="s">
        <v>5875</v>
      </c>
      <c r="K51" s="242"/>
      <c r="L51" s="242"/>
      <c r="M51" s="242"/>
      <c r="N51" s="242"/>
      <c r="O51" s="2"/>
      <c r="P51" s="2"/>
    </row>
    <row r="52" customFormat="false" ht="30" hidden="false" customHeight="true" outlineLevel="0" collapsed="false">
      <c r="A52" s="2"/>
      <c r="B52" s="243" t="s">
        <v>1203</v>
      </c>
      <c r="C52" s="245"/>
      <c r="D52" s="245"/>
      <c r="E52" s="245"/>
      <c r="F52" s="244" t="s">
        <v>1048</v>
      </c>
      <c r="G52" s="244" t="s">
        <v>1048</v>
      </c>
      <c r="H52" s="244" t="s">
        <v>1048</v>
      </c>
      <c r="I52" s="244" t="s">
        <v>1048</v>
      </c>
      <c r="J52" s="246" t="s">
        <v>5875</v>
      </c>
      <c r="K52" s="245"/>
      <c r="L52" s="245"/>
      <c r="M52" s="245"/>
      <c r="N52" s="245"/>
      <c r="O52" s="2"/>
      <c r="P52" s="2"/>
    </row>
    <row r="53" customFormat="false" ht="30" hidden="false" customHeight="true" outlineLevel="0" collapsed="false">
      <c r="A53" s="2"/>
      <c r="B53" s="240" t="s">
        <v>1205</v>
      </c>
      <c r="C53" s="242"/>
      <c r="D53" s="242"/>
      <c r="E53" s="242"/>
      <c r="F53" s="241" t="s">
        <v>1048</v>
      </c>
      <c r="G53" s="241" t="s">
        <v>1048</v>
      </c>
      <c r="H53" s="241" t="s">
        <v>1048</v>
      </c>
      <c r="I53" s="241" t="s">
        <v>1048</v>
      </c>
      <c r="J53" s="247" t="s">
        <v>5875</v>
      </c>
      <c r="K53" s="242"/>
      <c r="L53" s="242"/>
      <c r="M53" s="242"/>
      <c r="N53" s="242"/>
      <c r="O53" s="2"/>
      <c r="P53" s="2"/>
    </row>
    <row r="54" customFormat="false" ht="30" hidden="false" customHeight="true" outlineLevel="0" collapsed="false">
      <c r="A54" s="2"/>
      <c r="B54" s="243" t="s">
        <v>1207</v>
      </c>
      <c r="C54" s="245"/>
      <c r="D54" s="245"/>
      <c r="E54" s="245"/>
      <c r="F54" s="244" t="s">
        <v>1048</v>
      </c>
      <c r="G54" s="244" t="s">
        <v>1048</v>
      </c>
      <c r="H54" s="244" t="s">
        <v>1048</v>
      </c>
      <c r="I54" s="244" t="s">
        <v>1048</v>
      </c>
      <c r="J54" s="246" t="s">
        <v>5875</v>
      </c>
      <c r="K54" s="245"/>
      <c r="L54" s="245"/>
      <c r="M54" s="245"/>
      <c r="N54" s="245"/>
      <c r="O54" s="2"/>
      <c r="P54" s="2"/>
    </row>
    <row r="55" customFormat="false" ht="30" hidden="false" customHeight="true" outlineLevel="0" collapsed="false">
      <c r="A55" s="2"/>
      <c r="B55" s="240" t="s">
        <v>1209</v>
      </c>
      <c r="C55" s="242"/>
      <c r="D55" s="242"/>
      <c r="E55" s="242"/>
      <c r="F55" s="242"/>
      <c r="G55" s="241" t="s">
        <v>1048</v>
      </c>
      <c r="H55" s="241" t="s">
        <v>1048</v>
      </c>
      <c r="I55" s="241" t="s">
        <v>1048</v>
      </c>
      <c r="J55" s="247" t="s">
        <v>5875</v>
      </c>
      <c r="K55" s="242"/>
      <c r="L55" s="242"/>
      <c r="M55" s="242"/>
      <c r="N55" s="242"/>
      <c r="O55" s="2"/>
      <c r="P55" s="2"/>
    </row>
    <row r="56" customFormat="false" ht="30" hidden="false" customHeight="true" outlineLevel="0" collapsed="false">
      <c r="A56" s="2"/>
      <c r="B56" s="243" t="s">
        <v>1210</v>
      </c>
      <c r="C56" s="245"/>
      <c r="D56" s="245"/>
      <c r="E56" s="245"/>
      <c r="F56" s="244" t="s">
        <v>1048</v>
      </c>
      <c r="G56" s="245"/>
      <c r="H56" s="244" t="s">
        <v>1048</v>
      </c>
      <c r="I56" s="244" t="s">
        <v>1048</v>
      </c>
      <c r="J56" s="246" t="s">
        <v>5875</v>
      </c>
      <c r="K56" s="245"/>
      <c r="L56" s="245"/>
      <c r="M56" s="245"/>
      <c r="N56" s="245"/>
      <c r="O56" s="2"/>
      <c r="P56" s="2"/>
    </row>
    <row r="57" customFormat="false" ht="30" hidden="false" customHeight="true" outlineLevel="0" collapsed="false">
      <c r="A57" s="2"/>
      <c r="B57" s="240" t="s">
        <v>1212</v>
      </c>
      <c r="C57" s="242"/>
      <c r="D57" s="242"/>
      <c r="E57" s="242"/>
      <c r="F57" s="242"/>
      <c r="G57" s="242"/>
      <c r="H57" s="241" t="s">
        <v>1048</v>
      </c>
      <c r="I57" s="241" t="s">
        <v>1048</v>
      </c>
      <c r="J57" s="247" t="s">
        <v>5875</v>
      </c>
      <c r="K57" s="241" t="s">
        <v>1048</v>
      </c>
      <c r="L57" s="242"/>
      <c r="M57" s="242"/>
      <c r="N57" s="242"/>
      <c r="O57" s="2"/>
      <c r="P57" s="2"/>
    </row>
    <row r="58" customFormat="false" ht="30" hidden="false" customHeight="true" outlineLevel="0" collapsed="false">
      <c r="A58" s="2"/>
      <c r="B58" s="243" t="s">
        <v>1213</v>
      </c>
      <c r="C58" s="245"/>
      <c r="D58" s="245"/>
      <c r="E58" s="245"/>
      <c r="F58" s="245"/>
      <c r="G58" s="245"/>
      <c r="H58" s="244" t="s">
        <v>1048</v>
      </c>
      <c r="I58" s="244" t="s">
        <v>1048</v>
      </c>
      <c r="J58" s="246" t="s">
        <v>5875</v>
      </c>
      <c r="K58" s="244" t="s">
        <v>1048</v>
      </c>
      <c r="L58" s="246" t="s">
        <v>5875</v>
      </c>
      <c r="M58" s="246" t="s">
        <v>5875</v>
      </c>
      <c r="N58" s="246" t="s">
        <v>5875</v>
      </c>
      <c r="O58" s="2"/>
      <c r="P58" s="2"/>
    </row>
    <row r="59" customFormat="false" ht="30" hidden="false" customHeight="true" outlineLevel="0" collapsed="false">
      <c r="A59" s="2"/>
      <c r="B59" s="240" t="s">
        <v>1214</v>
      </c>
      <c r="C59" s="242"/>
      <c r="D59" s="242"/>
      <c r="E59" s="242"/>
      <c r="F59" s="242"/>
      <c r="G59" s="241" t="s">
        <v>1048</v>
      </c>
      <c r="H59" s="242"/>
      <c r="I59" s="241" t="s">
        <v>1048</v>
      </c>
      <c r="J59" s="247" t="s">
        <v>5875</v>
      </c>
      <c r="K59" s="241" t="s">
        <v>1048</v>
      </c>
      <c r="L59" s="247" t="s">
        <v>5875</v>
      </c>
      <c r="M59" s="247" t="s">
        <v>5875</v>
      </c>
      <c r="N59" s="247" t="s">
        <v>5875</v>
      </c>
      <c r="O59" s="2"/>
      <c r="P59" s="2"/>
    </row>
    <row r="60" customFormat="false" ht="30" hidden="false" customHeight="true" outlineLevel="0" collapsed="false">
      <c r="A60" s="2"/>
      <c r="B60" s="243" t="s">
        <v>1215</v>
      </c>
      <c r="C60" s="245"/>
      <c r="D60" s="245"/>
      <c r="E60" s="245"/>
      <c r="F60" s="245"/>
      <c r="G60" s="245"/>
      <c r="H60" s="245"/>
      <c r="I60" s="244" t="s">
        <v>1048</v>
      </c>
      <c r="J60" s="246" t="s">
        <v>5875</v>
      </c>
      <c r="K60" s="244" t="s">
        <v>1048</v>
      </c>
      <c r="L60" s="246" t="s">
        <v>5875</v>
      </c>
      <c r="M60" s="246" t="s">
        <v>5875</v>
      </c>
      <c r="N60" s="246" t="s">
        <v>5875</v>
      </c>
      <c r="O60" s="2"/>
      <c r="P60" s="2"/>
    </row>
    <row r="61" customFormat="false" ht="30" hidden="false" customHeight="true" outlineLevel="0" collapsed="false">
      <c r="A61" s="2"/>
      <c r="B61" s="240" t="s">
        <v>1216</v>
      </c>
      <c r="C61" s="242"/>
      <c r="D61" s="242"/>
      <c r="E61" s="242"/>
      <c r="F61" s="242"/>
      <c r="G61" s="242"/>
      <c r="H61" s="242"/>
      <c r="I61" s="241" t="s">
        <v>1048</v>
      </c>
      <c r="J61" s="247" t="s">
        <v>5875</v>
      </c>
      <c r="K61" s="247" t="s">
        <v>5875</v>
      </c>
      <c r="L61" s="247" t="s">
        <v>5875</v>
      </c>
      <c r="M61" s="247" t="s">
        <v>5875</v>
      </c>
      <c r="N61" s="247" t="s">
        <v>5875</v>
      </c>
      <c r="O61" s="2"/>
      <c r="P61" s="2"/>
    </row>
    <row r="62" customFormat="false" ht="30" hidden="false" customHeight="true" outlineLevel="0" collapsed="false">
      <c r="A62" s="2"/>
      <c r="B62" s="243" t="s">
        <v>1217</v>
      </c>
      <c r="C62" s="245"/>
      <c r="D62" s="245"/>
      <c r="E62" s="245"/>
      <c r="F62" s="245"/>
      <c r="G62" s="245"/>
      <c r="H62" s="245"/>
      <c r="I62" s="246" t="s">
        <v>5875</v>
      </c>
      <c r="J62" s="246" t="s">
        <v>5875</v>
      </c>
      <c r="K62" s="246" t="s">
        <v>5875</v>
      </c>
      <c r="L62" s="246" t="s">
        <v>5875</v>
      </c>
      <c r="M62" s="246" t="s">
        <v>5875</v>
      </c>
      <c r="N62" s="246" t="s">
        <v>5875</v>
      </c>
      <c r="O62" s="2"/>
      <c r="P62" s="2"/>
    </row>
    <row r="63" customFormat="false" ht="30" hidden="false" customHeight="true" outlineLevel="0" collapsed="false">
      <c r="A63" s="2"/>
      <c r="B63" s="240" t="s">
        <v>1218</v>
      </c>
      <c r="C63" s="242"/>
      <c r="D63" s="242"/>
      <c r="E63" s="242"/>
      <c r="F63" s="242"/>
      <c r="G63" s="242"/>
      <c r="H63" s="242"/>
      <c r="I63" s="247" t="s">
        <v>5875</v>
      </c>
      <c r="J63" s="247" t="s">
        <v>5875</v>
      </c>
      <c r="K63" s="247" t="s">
        <v>5875</v>
      </c>
      <c r="L63" s="247" t="s">
        <v>5875</v>
      </c>
      <c r="M63" s="247" t="s">
        <v>5875</v>
      </c>
      <c r="N63" s="247" t="s">
        <v>5875</v>
      </c>
      <c r="O63" s="2"/>
      <c r="P63" s="2"/>
    </row>
    <row r="64" customFormat="false" ht="30" hidden="false" customHeight="true" outlineLevel="0" collapsed="false">
      <c r="A64" s="2"/>
      <c r="B64" s="243" t="s">
        <v>1219</v>
      </c>
      <c r="C64" s="245"/>
      <c r="D64" s="245"/>
      <c r="E64" s="245"/>
      <c r="F64" s="245"/>
      <c r="G64" s="245"/>
      <c r="H64" s="245"/>
      <c r="I64" s="246" t="s">
        <v>5875</v>
      </c>
      <c r="J64" s="246" t="s">
        <v>5875</v>
      </c>
      <c r="K64" s="246" t="s">
        <v>5875</v>
      </c>
      <c r="L64" s="246" t="s">
        <v>5875</v>
      </c>
      <c r="M64" s="246" t="s">
        <v>5875</v>
      </c>
      <c r="N64" s="246" t="s">
        <v>5875</v>
      </c>
      <c r="O64" s="2"/>
      <c r="P64" s="2"/>
    </row>
    <row r="65" customFormat="false" ht="30" hidden="false" customHeight="true" outlineLevel="0" collapsed="false">
      <c r="A65" s="2"/>
      <c r="B65" s="240" t="s">
        <v>1220</v>
      </c>
      <c r="C65" s="242"/>
      <c r="D65" s="242"/>
      <c r="E65" s="242"/>
      <c r="F65" s="242"/>
      <c r="G65" s="242"/>
      <c r="H65" s="242"/>
      <c r="I65" s="247" t="s">
        <v>5875</v>
      </c>
      <c r="J65" s="247" t="s">
        <v>5875</v>
      </c>
      <c r="K65" s="247" t="s">
        <v>5875</v>
      </c>
      <c r="L65" s="247" t="s">
        <v>5875</v>
      </c>
      <c r="M65" s="247" t="s">
        <v>5875</v>
      </c>
      <c r="N65" s="247" t="s">
        <v>5875</v>
      </c>
      <c r="O65" s="2"/>
      <c r="P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20" hidden="false" customHeight="true" outlineLevel="0" collapsed="false">
      <c r="A67" s="2"/>
      <c r="B67" s="234" t="s">
        <v>1082</v>
      </c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</row>
    <row r="68" customFormat="false" ht="105" hidden="false" customHeight="true" outlineLevel="0" collapsed="false">
      <c r="A68" s="2"/>
      <c r="B68" s="234" t="s">
        <v>1025</v>
      </c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</row>
  </sheetData>
  <autoFilter ref="B12:P68"/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67:P67"/>
    <mergeCell ref="B68:P6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2D"/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26"/>
    <col collapsed="false" customWidth="true" hidden="false" outlineLevel="0" max="4" min="4" style="1" width="46"/>
    <col collapsed="false" customWidth="true" hidden="false" outlineLevel="0" max="5" min="5" style="1" width="3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249" t="s">
        <v>1222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customFormat="false" ht="90" hidden="false" customHeight="true" outlineLevel="0" collapsed="false">
      <c r="A3" s="2"/>
      <c r="B3" s="250" t="s">
        <v>1223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251" t="s">
        <v>233</v>
      </c>
      <c r="C5" s="251" t="s">
        <v>1224</v>
      </c>
      <c r="D5" s="251" t="s">
        <v>1225</v>
      </c>
      <c r="E5" s="251" t="s">
        <v>1226</v>
      </c>
      <c r="F5" s="2"/>
      <c r="G5" s="2"/>
      <c r="H5" s="2"/>
      <c r="I5" s="2"/>
      <c r="J5" s="2"/>
      <c r="K5" s="2"/>
      <c r="L5" s="2"/>
      <c r="M5" s="2"/>
      <c r="N5" s="2"/>
    </row>
    <row r="6" customFormat="false" ht="30" hidden="false" customHeight="true" outlineLevel="0" collapsed="false">
      <c r="A6" s="2"/>
      <c r="B6" s="252" t="s">
        <v>273</v>
      </c>
      <c r="C6" s="253" t="s">
        <v>5878</v>
      </c>
      <c r="D6" s="253" t="s">
        <v>1229</v>
      </c>
      <c r="E6" s="253" t="s">
        <v>1230</v>
      </c>
      <c r="F6" s="2"/>
      <c r="G6" s="2"/>
      <c r="H6" s="2"/>
      <c r="I6" s="2"/>
      <c r="J6" s="2"/>
      <c r="K6" s="2"/>
      <c r="L6" s="2"/>
      <c r="M6" s="2"/>
      <c r="N6" s="2"/>
    </row>
    <row r="7" customFormat="false" ht="30" hidden="false" customHeight="true" outlineLevel="0" collapsed="false">
      <c r="A7" s="2"/>
      <c r="B7" s="252" t="s">
        <v>276</v>
      </c>
      <c r="C7" s="254" t="s">
        <v>5879</v>
      </c>
      <c r="D7" s="254" t="s">
        <v>1233</v>
      </c>
      <c r="E7" s="254" t="s">
        <v>1230</v>
      </c>
      <c r="F7" s="2"/>
      <c r="G7" s="2"/>
      <c r="H7" s="2"/>
      <c r="I7" s="2"/>
      <c r="J7" s="2"/>
      <c r="K7" s="2"/>
      <c r="L7" s="2"/>
      <c r="M7" s="2"/>
      <c r="N7" s="2"/>
    </row>
    <row r="8" customFormat="false" ht="30" hidden="false" customHeight="true" outlineLevel="0" collapsed="false">
      <c r="A8" s="2"/>
      <c r="B8" s="252" t="s">
        <v>279</v>
      </c>
      <c r="C8" s="253" t="s">
        <v>5880</v>
      </c>
      <c r="D8" s="253" t="s">
        <v>1236</v>
      </c>
      <c r="E8" s="253" t="s">
        <v>1237</v>
      </c>
      <c r="F8" s="2"/>
      <c r="G8" s="2"/>
      <c r="H8" s="2"/>
      <c r="I8" s="2"/>
      <c r="J8" s="2"/>
      <c r="K8" s="2"/>
      <c r="L8" s="2"/>
      <c r="M8" s="2"/>
      <c r="N8" s="2"/>
    </row>
    <row r="9" customFormat="false" ht="30" hidden="false" customHeight="true" outlineLevel="0" collapsed="false">
      <c r="A9" s="2"/>
      <c r="B9" s="252" t="s">
        <v>282</v>
      </c>
      <c r="C9" s="254" t="s">
        <v>5881</v>
      </c>
      <c r="D9" s="254" t="s">
        <v>1240</v>
      </c>
      <c r="E9" s="254" t="s">
        <v>1237</v>
      </c>
      <c r="F9" s="2"/>
      <c r="G9" s="2"/>
      <c r="H9" s="2"/>
      <c r="I9" s="2"/>
      <c r="J9" s="2"/>
      <c r="K9" s="2"/>
      <c r="L9" s="2"/>
      <c r="M9" s="2"/>
      <c r="N9" s="2"/>
    </row>
    <row r="10" customFormat="false" ht="30" hidden="false" customHeight="true" outlineLevel="0" collapsed="false">
      <c r="A10" s="2"/>
      <c r="B10" s="252" t="s">
        <v>285</v>
      </c>
      <c r="C10" s="253" t="s">
        <v>5882</v>
      </c>
      <c r="D10" s="253" t="s">
        <v>1243</v>
      </c>
      <c r="E10" s="253" t="s">
        <v>1237</v>
      </c>
      <c r="F10" s="2"/>
      <c r="G10" s="2"/>
      <c r="H10" s="2"/>
      <c r="I10" s="2"/>
      <c r="J10" s="2"/>
      <c r="K10" s="2"/>
      <c r="L10" s="2"/>
      <c r="M10" s="2"/>
      <c r="N10" s="2"/>
    </row>
    <row r="11" customFormat="false" ht="30" hidden="false" customHeight="true" outlineLevel="0" collapsed="false">
      <c r="A11" s="2"/>
      <c r="B11" s="252" t="s">
        <v>288</v>
      </c>
      <c r="C11" s="254" t="s">
        <v>5883</v>
      </c>
      <c r="D11" s="254" t="s">
        <v>1246</v>
      </c>
      <c r="E11" s="254" t="s">
        <v>1247</v>
      </c>
      <c r="F11" s="2"/>
      <c r="G11" s="2"/>
      <c r="H11" s="2"/>
      <c r="I11" s="2"/>
      <c r="J11" s="2"/>
      <c r="K11" s="2"/>
      <c r="L11" s="2"/>
      <c r="M11" s="2"/>
      <c r="N11" s="2"/>
    </row>
    <row r="12" customFormat="false" ht="30" hidden="false" customHeight="true" outlineLevel="0" collapsed="false">
      <c r="A12" s="2"/>
      <c r="B12" s="252" t="s">
        <v>291</v>
      </c>
      <c r="C12" s="253" t="s">
        <v>5884</v>
      </c>
      <c r="D12" s="253" t="s">
        <v>1250</v>
      </c>
      <c r="E12" s="253" t="s">
        <v>1251</v>
      </c>
      <c r="F12" s="2"/>
      <c r="G12" s="2"/>
      <c r="H12" s="2"/>
      <c r="I12" s="2"/>
      <c r="J12" s="2"/>
      <c r="K12" s="2"/>
      <c r="L12" s="2"/>
      <c r="M12" s="2"/>
      <c r="N12" s="2"/>
    </row>
    <row r="13" customFormat="false" ht="30" hidden="false" customHeight="true" outlineLevel="0" collapsed="false">
      <c r="A13" s="2"/>
      <c r="B13" s="252" t="s">
        <v>294</v>
      </c>
      <c r="C13" s="254" t="s">
        <v>5885</v>
      </c>
      <c r="D13" s="254" t="s">
        <v>1254</v>
      </c>
      <c r="E13" s="254" t="s">
        <v>1255</v>
      </c>
      <c r="F13" s="2"/>
      <c r="G13" s="2"/>
      <c r="H13" s="2"/>
      <c r="I13" s="2"/>
      <c r="J13" s="2"/>
      <c r="K13" s="2"/>
      <c r="L13" s="2"/>
      <c r="M13" s="2"/>
      <c r="N13" s="2"/>
    </row>
    <row r="14" customFormat="false" ht="30" hidden="false" customHeight="true" outlineLevel="0" collapsed="false">
      <c r="A14" s="2"/>
      <c r="B14" s="252" t="s">
        <v>297</v>
      </c>
      <c r="C14" s="253" t="s">
        <v>5886</v>
      </c>
      <c r="D14" s="253" t="s">
        <v>1258</v>
      </c>
      <c r="E14" s="253" t="s">
        <v>1255</v>
      </c>
      <c r="F14" s="2"/>
      <c r="G14" s="2"/>
      <c r="H14" s="2"/>
      <c r="I14" s="2"/>
      <c r="J14" s="2"/>
      <c r="K14" s="2"/>
      <c r="L14" s="2"/>
      <c r="M14" s="2"/>
      <c r="N14" s="2"/>
    </row>
    <row r="15" customFormat="false" ht="30" hidden="false" customHeight="true" outlineLevel="0" collapsed="false">
      <c r="A15" s="2"/>
      <c r="B15" s="252" t="s">
        <v>300</v>
      </c>
      <c r="C15" s="254" t="s">
        <v>5887</v>
      </c>
      <c r="D15" s="254" t="s">
        <v>1261</v>
      </c>
      <c r="E15" s="254" t="s">
        <v>1230</v>
      </c>
      <c r="F15" s="2"/>
      <c r="G15" s="2"/>
      <c r="H15" s="2"/>
      <c r="I15" s="2"/>
      <c r="J15" s="2"/>
      <c r="K15" s="2"/>
      <c r="L15" s="2"/>
      <c r="M15" s="2"/>
      <c r="N15" s="2"/>
    </row>
    <row r="16" customFormat="false" ht="30" hidden="false" customHeight="true" outlineLevel="0" collapsed="false">
      <c r="A16" s="2"/>
      <c r="B16" s="252" t="s">
        <v>303</v>
      </c>
      <c r="C16" s="253" t="s">
        <v>5888</v>
      </c>
      <c r="D16" s="253" t="s">
        <v>1261</v>
      </c>
      <c r="E16" s="253" t="s">
        <v>1230</v>
      </c>
      <c r="F16" s="2"/>
      <c r="G16" s="2"/>
      <c r="H16" s="2"/>
      <c r="I16" s="2"/>
      <c r="J16" s="2"/>
      <c r="K16" s="2"/>
      <c r="L16" s="2"/>
      <c r="M16" s="2"/>
      <c r="N16" s="2"/>
    </row>
    <row r="17" customFormat="false" ht="30" hidden="false" customHeight="true" outlineLevel="0" collapsed="false">
      <c r="A17" s="2"/>
      <c r="B17" s="252" t="s">
        <v>306</v>
      </c>
      <c r="C17" s="254" t="s">
        <v>1265</v>
      </c>
      <c r="D17" s="254" t="s">
        <v>1266</v>
      </c>
      <c r="E17" s="254" t="s">
        <v>1237</v>
      </c>
      <c r="F17" s="2"/>
      <c r="G17" s="2"/>
      <c r="H17" s="2"/>
      <c r="I17" s="2"/>
      <c r="J17" s="2"/>
      <c r="K17" s="2"/>
      <c r="L17" s="2"/>
      <c r="M17" s="2"/>
      <c r="N17" s="2"/>
    </row>
    <row r="18" customFormat="false" ht="30" hidden="false" customHeight="true" outlineLevel="0" collapsed="false">
      <c r="A18" s="2"/>
      <c r="B18" s="252" t="s">
        <v>309</v>
      </c>
      <c r="C18" s="253" t="s">
        <v>5889</v>
      </c>
      <c r="D18" s="253" t="s">
        <v>1269</v>
      </c>
      <c r="E18" s="253" t="s">
        <v>1237</v>
      </c>
      <c r="F18" s="2"/>
      <c r="G18" s="2"/>
      <c r="H18" s="2"/>
      <c r="I18" s="2"/>
      <c r="J18" s="2"/>
      <c r="K18" s="2"/>
      <c r="L18" s="2"/>
      <c r="M18" s="2"/>
      <c r="N18" s="2"/>
    </row>
    <row r="19" customFormat="false" ht="30" hidden="false" customHeight="true" outlineLevel="0" collapsed="false">
      <c r="A19" s="2"/>
      <c r="B19" s="252" t="s">
        <v>312</v>
      </c>
      <c r="C19" s="254" t="s">
        <v>5890</v>
      </c>
      <c r="D19" s="254" t="s">
        <v>1272</v>
      </c>
      <c r="E19" s="254" t="s">
        <v>1273</v>
      </c>
      <c r="F19" s="2"/>
      <c r="G19" s="2"/>
      <c r="H19" s="2"/>
      <c r="I19" s="2"/>
      <c r="J19" s="2"/>
      <c r="K19" s="2"/>
      <c r="L19" s="2"/>
      <c r="M19" s="2"/>
      <c r="N19" s="2"/>
    </row>
    <row r="20" customFormat="false" ht="30" hidden="false" customHeight="true" outlineLevel="0" collapsed="false">
      <c r="A20" s="2"/>
      <c r="B20" s="252" t="s">
        <v>315</v>
      </c>
      <c r="C20" s="253" t="s">
        <v>5891</v>
      </c>
      <c r="D20" s="253" t="s">
        <v>1276</v>
      </c>
      <c r="E20" s="253" t="s">
        <v>1277</v>
      </c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75" hidden="false" customHeight="true" outlineLevel="0" collapsed="false">
      <c r="A22" s="2"/>
      <c r="B22" s="255" t="s">
        <v>1279</v>
      </c>
      <c r="C22" s="255"/>
      <c r="D22" s="255"/>
      <c r="E22" s="255"/>
      <c r="F22" s="255"/>
      <c r="G22" s="255"/>
      <c r="H22" s="255"/>
      <c r="I22" s="255"/>
      <c r="J22" s="2"/>
      <c r="K22" s="2"/>
      <c r="L22" s="2"/>
      <c r="M22" s="2"/>
      <c r="N22" s="2"/>
    </row>
  </sheetData>
  <mergeCells count="3">
    <mergeCell ref="B2:N2"/>
    <mergeCell ref="B3:N3"/>
    <mergeCell ref="B22:I22"/>
  </mergeCells>
  <hyperlinks>
    <hyperlink ref="B6" location="'MS Shipbuild Flat'!A1" display="MS Shipbuild Flat"/>
    <hyperlink ref="B7" location="'MS Equal Angles'!A1" display="MS Equal Angles"/>
    <hyperlink ref="B8" location="'MS Unequal Angles'!A1" display="MS Unequal Angles"/>
    <hyperlink ref="B9" location="'MS Lipped Channel'!A1" display="MS Lipped Channel"/>
    <hyperlink ref="B10" location="'MS Plain Channel'!A1" display="MS Plain Channel"/>
    <hyperlink ref="B11" location="'MS Carbon Pipe'!A1" display="MS Carbon Pipe"/>
    <hyperlink ref="B12" location="'MS Welded Pipe'!A1" display="MS Welded Pipe"/>
    <hyperlink ref="B13" location="'MS HR Plates'!A1" display="MS HR Plates"/>
    <hyperlink ref="B14" location="'MS Chequered Plate'!A1" display="MS Chequered Plate"/>
    <hyperlink ref="B15" location="'MS SHS'!A1" display="MS SHS"/>
    <hyperlink ref="B16" location="'MS RHS'!A1" display="MS RHS"/>
    <hyperlink ref="B17" location="'MS Bar Sections'!A1" display="MS Bar Sections"/>
    <hyperlink ref="B18" location="'MS Channel &amp; Rebar'!A1" display="MS Channel &amp; Rebar"/>
    <hyperlink ref="B19" location="'MS Wide Flange'!A1" display="MS Wide Flange"/>
    <hyperlink ref="B20" location="'MS Galv Sheets'!A1" display="MS Galv Sheets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2D"/>
    <pageSetUpPr fitToPage="false"/>
  </sheetPr>
  <dimension ref="A1:P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56" t="s">
        <v>5892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60" hidden="false" customHeight="true" outlineLevel="0" collapsed="false">
      <c r="A3" s="2"/>
      <c r="B3" s="250" t="s">
        <v>1281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57" t="s">
        <v>1282</v>
      </c>
      <c r="C5" s="257"/>
      <c r="D5" s="25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1283</v>
      </c>
      <c r="C6" s="258" t="s">
        <v>1284</v>
      </c>
      <c r="D6" s="258" t="s">
        <v>1285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1287</v>
      </c>
      <c r="C7" s="260" t="n">
        <v>0.283</v>
      </c>
      <c r="D7" s="260" t="n">
        <v>1.698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1291</v>
      </c>
      <c r="C8" s="262" t="n">
        <v>0.306</v>
      </c>
      <c r="D8" s="262" t="n">
        <v>1.836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1295</v>
      </c>
      <c r="C9" s="260" t="n">
        <v>0.377</v>
      </c>
      <c r="D9" s="260" t="n">
        <v>2.262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1299</v>
      </c>
      <c r="C10" s="262" t="n">
        <v>0.424</v>
      </c>
      <c r="D10" s="262" t="n">
        <v>2.544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1303</v>
      </c>
      <c r="C11" s="260" t="n">
        <v>0.447</v>
      </c>
      <c r="D11" s="260" t="n">
        <v>2.682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1307</v>
      </c>
      <c r="C12" s="262" t="n">
        <v>0.589</v>
      </c>
      <c r="D12" s="262" t="n">
        <v>3.534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1311</v>
      </c>
      <c r="C13" s="260" t="n">
        <v>0.71</v>
      </c>
      <c r="D13" s="260" t="n">
        <v>4.26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1315</v>
      </c>
      <c r="C14" s="262" t="n">
        <v>0.754</v>
      </c>
      <c r="D14" s="262" t="n">
        <v>4.524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1319</v>
      </c>
      <c r="C15" s="260" t="n">
        <v>0.895</v>
      </c>
      <c r="D15" s="260" t="n">
        <v>5.37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1323</v>
      </c>
      <c r="C16" s="262" t="n">
        <v>1.04</v>
      </c>
      <c r="D16" s="262" t="n">
        <v>6.24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1327</v>
      </c>
      <c r="C17" s="260" t="n">
        <v>1.18</v>
      </c>
      <c r="D17" s="260" t="n">
        <v>7.08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1331</v>
      </c>
      <c r="C18" s="262" t="n">
        <v>1.53</v>
      </c>
      <c r="D18" s="262" t="n">
        <v>9.18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1335</v>
      </c>
      <c r="C19" s="260" t="n">
        <v>1.766</v>
      </c>
      <c r="D19" s="260" t="n">
        <v>10.596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1339</v>
      </c>
      <c r="C20" s="262" t="n">
        <v>2.355</v>
      </c>
      <c r="D20" s="262" t="n">
        <v>14.13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1343</v>
      </c>
      <c r="C21" s="260" t="n">
        <v>0.377</v>
      </c>
      <c r="D21" s="260" t="n">
        <v>2.262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1345</v>
      </c>
      <c r="C22" s="262" t="n">
        <v>0.471</v>
      </c>
      <c r="D22" s="262" t="n">
        <v>2.826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1349</v>
      </c>
      <c r="C23" s="260" t="n">
        <v>0.565</v>
      </c>
      <c r="D23" s="260" t="n">
        <v>3.39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1353</v>
      </c>
      <c r="C24" s="262" t="n">
        <v>0.597</v>
      </c>
      <c r="D24" s="262" t="n">
        <v>3.582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1357</v>
      </c>
      <c r="C25" s="260" t="n">
        <v>0.785</v>
      </c>
      <c r="D25" s="260" t="n">
        <v>4.71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1361</v>
      </c>
      <c r="C26" s="262" t="n">
        <v>0.947</v>
      </c>
      <c r="D26" s="262" t="n">
        <v>5.682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1365</v>
      </c>
      <c r="C27" s="260" t="n">
        <v>0.424</v>
      </c>
      <c r="D27" s="260" t="n">
        <v>2.544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1367</v>
      </c>
      <c r="C28" s="262" t="n">
        <v>0.459</v>
      </c>
      <c r="D28" s="262" t="n">
        <v>2.754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1371</v>
      </c>
      <c r="C29" s="260" t="n">
        <v>0.53</v>
      </c>
      <c r="D29" s="260" t="n">
        <v>3.18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1374</v>
      </c>
      <c r="C30" s="262" t="n">
        <v>0.565</v>
      </c>
      <c r="D30" s="262" t="n">
        <v>3.39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1376</v>
      </c>
      <c r="C31" s="260" t="n">
        <v>0.636</v>
      </c>
      <c r="D31" s="260" t="n">
        <v>3.816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1380</v>
      </c>
      <c r="C32" s="262" t="n">
        <v>0.67</v>
      </c>
      <c r="D32" s="262" t="n">
        <v>4.02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1384</v>
      </c>
      <c r="C33" s="260" t="n">
        <v>0.88</v>
      </c>
      <c r="D33" s="260" t="n">
        <v>5.28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1388</v>
      </c>
      <c r="C34" s="262" t="n">
        <v>1.06</v>
      </c>
      <c r="D34" s="262" t="n">
        <v>6.36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1392</v>
      </c>
      <c r="C35" s="260" t="n">
        <v>1.13</v>
      </c>
      <c r="D35" s="260" t="n">
        <v>6.78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1396</v>
      </c>
      <c r="C36" s="262" t="n">
        <v>1.34</v>
      </c>
      <c r="D36" s="262" t="n">
        <v>8.04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1400</v>
      </c>
      <c r="C37" s="260" t="n">
        <v>1.55</v>
      </c>
      <c r="D37" s="260" t="n">
        <v>9.3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1404</v>
      </c>
      <c r="C38" s="262" t="n">
        <v>1.77</v>
      </c>
      <c r="D38" s="262" t="n">
        <v>10.62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1408</v>
      </c>
      <c r="C39" s="260" t="n">
        <v>2.3</v>
      </c>
      <c r="D39" s="260" t="n">
        <v>13.8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1412</v>
      </c>
      <c r="C40" s="262" t="n">
        <v>2.6</v>
      </c>
      <c r="D40" s="262" t="n">
        <v>15.6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1416</v>
      </c>
      <c r="C41" s="260" t="n">
        <v>3.55</v>
      </c>
      <c r="D41" s="260" t="n">
        <v>21.3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1420</v>
      </c>
      <c r="C42" s="262" t="n">
        <v>0.981</v>
      </c>
      <c r="D42" s="262" t="n">
        <v>5.886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1424</v>
      </c>
      <c r="C43" s="260" t="n">
        <v>1.256</v>
      </c>
      <c r="D43" s="260" t="n">
        <v>7.536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1428</v>
      </c>
      <c r="C44" s="262" t="n">
        <v>1.492</v>
      </c>
      <c r="D44" s="262" t="n">
        <v>8.952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1432</v>
      </c>
      <c r="C45" s="260" t="n">
        <v>1.963</v>
      </c>
      <c r="D45" s="260" t="n">
        <v>11.778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1436</v>
      </c>
      <c r="C46" s="262" t="n">
        <v>2.551</v>
      </c>
      <c r="D46" s="262" t="n">
        <v>15.306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1440</v>
      </c>
      <c r="C47" s="260" t="n">
        <v>0.57</v>
      </c>
      <c r="D47" s="260" t="n">
        <v>3.42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1444</v>
      </c>
      <c r="C48" s="262" t="n">
        <v>0.707</v>
      </c>
      <c r="D48" s="262" t="n">
        <v>4.242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1448</v>
      </c>
      <c r="C49" s="260" t="n">
        <v>0.754</v>
      </c>
      <c r="D49" s="260" t="n">
        <v>4.524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1450</v>
      </c>
      <c r="C50" s="262" t="n">
        <v>0.848</v>
      </c>
      <c r="D50" s="262" t="n">
        <v>5.088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1454</v>
      </c>
      <c r="C51" s="260" t="n">
        <v>0.895</v>
      </c>
      <c r="D51" s="260" t="n">
        <v>5.37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1456</v>
      </c>
      <c r="C52" s="262" t="n">
        <v>1.13</v>
      </c>
      <c r="D52" s="262" t="n">
        <v>6.78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1458</v>
      </c>
      <c r="C53" s="260" t="n">
        <v>1.41</v>
      </c>
      <c r="D53" s="260" t="n">
        <v>8.46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1462</v>
      </c>
      <c r="C54" s="262" t="n">
        <v>1.51</v>
      </c>
      <c r="D54" s="262" t="n">
        <v>9.06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1466</v>
      </c>
      <c r="C55" s="260" t="n">
        <v>1.79</v>
      </c>
      <c r="D55" s="260" t="n">
        <v>10.74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1470</v>
      </c>
      <c r="C56" s="262" t="n">
        <v>2.07</v>
      </c>
      <c r="D56" s="262" t="n">
        <v>12.42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1474</v>
      </c>
      <c r="C57" s="260" t="n">
        <v>2.36</v>
      </c>
      <c r="D57" s="260" t="n">
        <v>14.16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1478</v>
      </c>
      <c r="C58" s="262" t="n">
        <v>3.06</v>
      </c>
      <c r="D58" s="262" t="n">
        <v>18.36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1482</v>
      </c>
      <c r="C59" s="260" t="n">
        <v>3.53</v>
      </c>
      <c r="D59" s="260" t="n">
        <v>21.18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1486</v>
      </c>
      <c r="C60" s="262" t="n">
        <v>4.24</v>
      </c>
      <c r="D60" s="262" t="n">
        <v>25.44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1490</v>
      </c>
      <c r="C61" s="260" t="n">
        <v>4.71</v>
      </c>
      <c r="D61" s="260" t="n">
        <v>28.26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1493</v>
      </c>
      <c r="C62" s="262" t="n">
        <v>5.89</v>
      </c>
      <c r="D62" s="262" t="n">
        <v>35.34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1497</v>
      </c>
      <c r="C63" s="260" t="n">
        <v>7.05</v>
      </c>
      <c r="D63" s="260" t="n">
        <v>42.3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1501</v>
      </c>
      <c r="C64" s="262" t="n">
        <v>9.42</v>
      </c>
      <c r="D64" s="262" t="n">
        <v>56.52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1505</v>
      </c>
      <c r="C65" s="260" t="n">
        <v>11.78</v>
      </c>
      <c r="D65" s="260" t="n">
        <v>70.68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1509</v>
      </c>
      <c r="C66" s="262" t="n">
        <v>14.13</v>
      </c>
      <c r="D66" s="262" t="n">
        <v>84.78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1512</v>
      </c>
      <c r="C67" s="260" t="n">
        <v>1.57</v>
      </c>
      <c r="D67" s="260" t="n">
        <v>9.42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1515</v>
      </c>
      <c r="C68" s="262" t="n">
        <v>1.88</v>
      </c>
      <c r="D68" s="262" t="n">
        <v>11.28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1519</v>
      </c>
      <c r="C69" s="260" t="n">
        <v>2.01</v>
      </c>
      <c r="D69" s="260" t="n">
        <v>12.06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1523</v>
      </c>
      <c r="C70" s="262" t="n">
        <v>2.39</v>
      </c>
      <c r="D70" s="262" t="n">
        <v>14.34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1527</v>
      </c>
      <c r="C71" s="260" t="n">
        <v>2.76</v>
      </c>
      <c r="D71" s="260" t="n">
        <v>16.56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1531</v>
      </c>
      <c r="C72" s="262" t="n">
        <v>3.14</v>
      </c>
      <c r="D72" s="262" t="n">
        <v>18.84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1535</v>
      </c>
      <c r="C73" s="260" t="n">
        <v>5.65</v>
      </c>
      <c r="D73" s="260" t="n">
        <v>33.9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1539</v>
      </c>
      <c r="C74" s="262" t="n">
        <v>4.71</v>
      </c>
      <c r="D74" s="262" t="n">
        <v>28.26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1541</v>
      </c>
      <c r="C75" s="260" t="n">
        <v>5.65</v>
      </c>
      <c r="D75" s="260" t="n">
        <v>33.9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1543</v>
      </c>
      <c r="C76" s="262" t="n">
        <v>6.28</v>
      </c>
      <c r="D76" s="262" t="n">
        <v>37.68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1547</v>
      </c>
      <c r="C77" s="260" t="n">
        <v>7.85</v>
      </c>
      <c r="D77" s="260" t="n">
        <v>47.1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1551</v>
      </c>
      <c r="C78" s="262" t="n">
        <v>9.42</v>
      </c>
      <c r="D78" s="262" t="n">
        <v>56.52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1553</v>
      </c>
      <c r="C79" s="260" t="n">
        <v>1.272</v>
      </c>
      <c r="D79" s="260" t="n">
        <v>7.632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1557</v>
      </c>
      <c r="C80" s="262" t="n">
        <v>1.34</v>
      </c>
      <c r="D80" s="262" t="n">
        <v>8.04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1559</v>
      </c>
      <c r="C81" s="260" t="n">
        <v>1.77</v>
      </c>
      <c r="D81" s="260" t="n">
        <v>10.62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1561</v>
      </c>
      <c r="C82" s="262" t="n">
        <v>2.12</v>
      </c>
      <c r="D82" s="262" t="n">
        <v>12.72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1565</v>
      </c>
      <c r="C83" s="260" t="n">
        <v>2.26</v>
      </c>
      <c r="D83" s="260" t="n">
        <v>13.56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1569</v>
      </c>
      <c r="C84" s="262" t="n">
        <v>2.47</v>
      </c>
      <c r="D84" s="262" t="n">
        <v>14.82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1573</v>
      </c>
      <c r="C85" s="260" t="n">
        <v>2.68</v>
      </c>
      <c r="D85" s="260" t="n">
        <v>16.08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1577</v>
      </c>
      <c r="C86" s="262" t="n">
        <v>3.11</v>
      </c>
      <c r="D86" s="262" t="n">
        <v>18.66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1581</v>
      </c>
      <c r="C87" s="260" t="n">
        <v>3.53</v>
      </c>
      <c r="D87" s="260" t="n">
        <v>21.18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1583</v>
      </c>
      <c r="C88" s="262" t="n">
        <v>4.59</v>
      </c>
      <c r="D88" s="262" t="n">
        <v>27.54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1587</v>
      </c>
      <c r="C89" s="260" t="n">
        <v>5.3</v>
      </c>
      <c r="D89" s="260" t="n">
        <v>31.8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1591</v>
      </c>
      <c r="C90" s="262" t="n">
        <v>6.36</v>
      </c>
      <c r="D90" s="262" t="n">
        <v>38.16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1594</v>
      </c>
      <c r="C91" s="260" t="n">
        <v>7.06</v>
      </c>
      <c r="D91" s="260" t="n">
        <v>42.36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1598</v>
      </c>
      <c r="C92" s="262" t="n">
        <v>8.83</v>
      </c>
      <c r="D92" s="262" t="n">
        <v>52.98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1602</v>
      </c>
      <c r="C93" s="260" t="n">
        <v>10.6</v>
      </c>
      <c r="D93" s="260" t="n">
        <v>63.6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1606</v>
      </c>
      <c r="C94" s="262" t="n">
        <v>14.1</v>
      </c>
      <c r="D94" s="262" t="n">
        <v>84.6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1610</v>
      </c>
      <c r="C95" s="260" t="n">
        <v>17.7</v>
      </c>
      <c r="D95" s="260" t="n">
        <v>106.2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1614</v>
      </c>
      <c r="C96" s="262" t="n">
        <v>21.2</v>
      </c>
      <c r="D96" s="262" t="n">
        <v>127.2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1618</v>
      </c>
      <c r="C97" s="260" t="n">
        <v>2.36</v>
      </c>
      <c r="D97" s="260" t="n">
        <v>14.16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1620</v>
      </c>
      <c r="C98" s="262" t="n">
        <v>2.826</v>
      </c>
      <c r="D98" s="262" t="n">
        <v>16.956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1623</v>
      </c>
      <c r="C99" s="260" t="n">
        <v>3.01</v>
      </c>
      <c r="D99" s="260" t="n">
        <v>18.06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1627</v>
      </c>
      <c r="C100" s="262" t="n">
        <v>3.31</v>
      </c>
      <c r="D100" s="262" t="n">
        <v>19.86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1631</v>
      </c>
      <c r="C101" s="260" t="n">
        <v>3.58</v>
      </c>
      <c r="D101" s="260" t="n">
        <v>21.48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1635</v>
      </c>
      <c r="C102" s="262" t="n">
        <v>4.14</v>
      </c>
      <c r="D102" s="262" t="n">
        <v>24.84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1639</v>
      </c>
      <c r="C103" s="260" t="n">
        <v>4.71</v>
      </c>
      <c r="D103" s="260" t="n">
        <v>28.26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1641</v>
      </c>
      <c r="C104" s="262" t="n">
        <v>6.12</v>
      </c>
      <c r="D104" s="262" t="n">
        <v>36.72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1645</v>
      </c>
      <c r="C105" s="260" t="n">
        <v>7.06</v>
      </c>
      <c r="D105" s="260" t="n">
        <v>42.36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1647</v>
      </c>
      <c r="C106" s="262" t="n">
        <v>8.48</v>
      </c>
      <c r="D106" s="262" t="n">
        <v>50.88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1651</v>
      </c>
      <c r="C107" s="260" t="n">
        <v>9.42</v>
      </c>
      <c r="D107" s="260" t="n">
        <v>56.52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1653</v>
      </c>
      <c r="C108" s="262" t="n">
        <v>11.8</v>
      </c>
      <c r="D108" s="262" t="n">
        <v>70.8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1657</v>
      </c>
      <c r="C109" s="260" t="n">
        <v>14.1</v>
      </c>
      <c r="D109" s="260" t="n">
        <v>84.6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1659</v>
      </c>
      <c r="C110" s="262" t="n">
        <v>18.8</v>
      </c>
      <c r="D110" s="262" t="n">
        <v>112.8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1663</v>
      </c>
      <c r="C111" s="260" t="n">
        <v>23.6</v>
      </c>
      <c r="D111" s="260" t="n">
        <v>141.6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1667</v>
      </c>
      <c r="C112" s="262" t="n">
        <v>28.3</v>
      </c>
      <c r="D112" s="262" t="n">
        <v>169.8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1671</v>
      </c>
      <c r="C113" s="260" t="n">
        <v>3.14</v>
      </c>
      <c r="D113" s="260" t="n">
        <v>18.84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1673</v>
      </c>
      <c r="C114" s="262" t="n">
        <v>4.02</v>
      </c>
      <c r="D114" s="262" t="n">
        <v>24.12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1676</v>
      </c>
      <c r="C115" s="260" t="n">
        <v>4.77</v>
      </c>
      <c r="D115" s="260" t="n">
        <v>28.62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1680</v>
      </c>
      <c r="C116" s="262" t="n">
        <v>5.53</v>
      </c>
      <c r="D116" s="262" t="n">
        <v>33.18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1684</v>
      </c>
      <c r="C117" s="260" t="n">
        <v>6.28</v>
      </c>
      <c r="D117" s="260" t="n">
        <v>37.68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1686</v>
      </c>
      <c r="C118" s="262" t="n">
        <v>8.16</v>
      </c>
      <c r="D118" s="262" t="n">
        <v>48.96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1690</v>
      </c>
      <c r="C119" s="260" t="n">
        <v>9.42</v>
      </c>
      <c r="D119" s="260" t="n">
        <v>56.52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1692</v>
      </c>
      <c r="C120" s="262" t="n">
        <v>11.3</v>
      </c>
      <c r="D120" s="262" t="n">
        <v>67.8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1696</v>
      </c>
      <c r="C121" s="260" t="n">
        <v>12.6</v>
      </c>
      <c r="D121" s="260" t="n">
        <v>75.6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1700</v>
      </c>
      <c r="C122" s="262" t="n">
        <v>15.7</v>
      </c>
      <c r="D122" s="262" t="n">
        <v>94.2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1704</v>
      </c>
      <c r="C123" s="260" t="n">
        <v>18.8</v>
      </c>
      <c r="D123" s="260" t="n">
        <v>112.8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1706</v>
      </c>
      <c r="C124" s="262" t="n">
        <v>25.1</v>
      </c>
      <c r="D124" s="262" t="n">
        <v>150.6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1710</v>
      </c>
      <c r="C125" s="260" t="n">
        <v>31.4</v>
      </c>
      <c r="D125" s="260" t="n">
        <v>188.4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1714</v>
      </c>
      <c r="C126" s="262" t="n">
        <v>37.7</v>
      </c>
      <c r="D126" s="262" t="n">
        <v>226.2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59" t="s">
        <v>1718</v>
      </c>
      <c r="C127" s="260" t="n">
        <v>4.77</v>
      </c>
      <c r="D127" s="260" t="n">
        <v>28.62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1" t="s">
        <v>1720</v>
      </c>
      <c r="C128" s="262" t="n">
        <v>5.67</v>
      </c>
      <c r="D128" s="262" t="n">
        <v>34.02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59" t="s">
        <v>1724</v>
      </c>
      <c r="C129" s="260" t="n">
        <v>6.56</v>
      </c>
      <c r="D129" s="260" t="n">
        <v>39.36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61" t="s">
        <v>1728</v>
      </c>
      <c r="C130" s="262" t="n">
        <v>7.46</v>
      </c>
      <c r="D130" s="262" t="n">
        <v>44.76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59" t="s">
        <v>1732</v>
      </c>
      <c r="C131" s="260" t="n">
        <v>9.69</v>
      </c>
      <c r="D131" s="260" t="n">
        <v>58.14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30" hidden="false" customHeight="true" outlineLevel="0" collapsed="false">
      <c r="A132" s="2"/>
      <c r="B132" s="261" t="s">
        <v>1736</v>
      </c>
      <c r="C132" s="262" t="n">
        <v>11.2</v>
      </c>
      <c r="D132" s="262" t="n">
        <v>67.2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30" hidden="false" customHeight="true" outlineLevel="0" collapsed="false">
      <c r="A133" s="2"/>
      <c r="B133" s="259" t="s">
        <v>1740</v>
      </c>
      <c r="C133" s="260" t="n">
        <v>13.4</v>
      </c>
      <c r="D133" s="260" t="n">
        <v>80.4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30" hidden="false" customHeight="true" outlineLevel="0" collapsed="false">
      <c r="A134" s="2"/>
      <c r="B134" s="261" t="s">
        <v>1744</v>
      </c>
      <c r="C134" s="262" t="n">
        <v>14.9</v>
      </c>
      <c r="D134" s="262" t="n">
        <v>89.4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customFormat="false" ht="30" hidden="false" customHeight="true" outlineLevel="0" collapsed="false">
      <c r="A135" s="2"/>
      <c r="B135" s="259" t="s">
        <v>1748</v>
      </c>
      <c r="C135" s="260" t="n">
        <v>18.6</v>
      </c>
      <c r="D135" s="260" t="n">
        <v>111.6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customFormat="false" ht="30" hidden="false" customHeight="true" outlineLevel="0" collapsed="false">
      <c r="A136" s="2"/>
      <c r="B136" s="261" t="s">
        <v>1752</v>
      </c>
      <c r="C136" s="262" t="n">
        <v>22.4</v>
      </c>
      <c r="D136" s="262" t="n">
        <v>134.4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customFormat="false" ht="30" hidden="false" customHeight="true" outlineLevel="0" collapsed="false">
      <c r="A137" s="2"/>
      <c r="B137" s="259" t="s">
        <v>1756</v>
      </c>
      <c r="C137" s="260" t="n">
        <v>29.8</v>
      </c>
      <c r="D137" s="260" t="n">
        <v>178.8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customFormat="false" ht="30" hidden="false" customHeight="true" outlineLevel="0" collapsed="false">
      <c r="A138" s="2"/>
      <c r="B138" s="261" t="s">
        <v>1760</v>
      </c>
      <c r="C138" s="262" t="n">
        <v>37.3</v>
      </c>
      <c r="D138" s="262" t="n">
        <v>223.8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customFormat="false" ht="30" hidden="false" customHeight="true" outlineLevel="0" collapsed="false">
      <c r="A139" s="2"/>
      <c r="B139" s="259" t="s">
        <v>1764</v>
      </c>
      <c r="C139" s="260" t="n">
        <v>9.81</v>
      </c>
      <c r="D139" s="260" t="n">
        <v>58.86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customFormat="false" ht="30" hidden="false" customHeight="true" outlineLevel="0" collapsed="false">
      <c r="A140" s="2"/>
      <c r="B140" s="261" t="s">
        <v>1768</v>
      </c>
      <c r="C140" s="262" t="n">
        <v>12.8</v>
      </c>
      <c r="D140" s="262" t="n">
        <v>76.8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customFormat="false" ht="30" hidden="false" customHeight="true" outlineLevel="0" collapsed="false">
      <c r="A141" s="2"/>
      <c r="B141" s="259" t="s">
        <v>1772</v>
      </c>
      <c r="C141" s="260" t="n">
        <v>14.7</v>
      </c>
      <c r="D141" s="260" t="n">
        <v>88.2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customFormat="false" ht="30" hidden="false" customHeight="true" outlineLevel="0" collapsed="false">
      <c r="A142" s="2"/>
      <c r="B142" s="261" t="s">
        <v>1776</v>
      </c>
      <c r="C142" s="262" t="n">
        <v>17.7</v>
      </c>
      <c r="D142" s="262" t="n">
        <v>106.2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customFormat="false" ht="30" hidden="false" customHeight="true" outlineLevel="0" collapsed="false">
      <c r="A143" s="2"/>
      <c r="B143" s="259" t="s">
        <v>1778</v>
      </c>
      <c r="C143" s="260" t="n">
        <v>19.6</v>
      </c>
      <c r="D143" s="260" t="n">
        <v>117.6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customFormat="false" ht="30" hidden="false" customHeight="true" outlineLevel="0" collapsed="false">
      <c r="A144" s="2"/>
      <c r="B144" s="261" t="s">
        <v>1782</v>
      </c>
      <c r="C144" s="262" t="n">
        <v>24.5</v>
      </c>
      <c r="D144" s="262" t="n">
        <v>147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customFormat="false" ht="30" hidden="false" customHeight="true" outlineLevel="0" collapsed="false">
      <c r="A145" s="2"/>
      <c r="B145" s="259" t="s">
        <v>1786</v>
      </c>
      <c r="C145" s="260" t="n">
        <v>29.4</v>
      </c>
      <c r="D145" s="260" t="n">
        <v>176.4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customFormat="false" ht="30" hidden="false" customHeight="true" outlineLevel="0" collapsed="false">
      <c r="A146" s="2"/>
      <c r="B146" s="261" t="s">
        <v>1790</v>
      </c>
      <c r="C146" s="262" t="n">
        <v>39.2</v>
      </c>
      <c r="D146" s="262" t="n">
        <v>235.2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customFormat="false" ht="30" hidden="false" customHeight="true" outlineLevel="0" collapsed="false">
      <c r="A147" s="2"/>
      <c r="B147" s="259" t="s">
        <v>1794</v>
      </c>
      <c r="C147" s="260" t="n">
        <v>49.1</v>
      </c>
      <c r="D147" s="260" t="n">
        <v>294.6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customFormat="false" ht="30" hidden="false" customHeight="true" outlineLevel="0" collapsed="false">
      <c r="A148" s="2"/>
      <c r="B148" s="261" t="s">
        <v>1798</v>
      </c>
      <c r="C148" s="262" t="n">
        <v>58.9</v>
      </c>
      <c r="D148" s="262" t="n">
        <v>353.4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customFormat="false" ht="1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customFormat="false" ht="7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customFormat="false" ht="75" hidden="false" customHeight="true" outlineLevel="0" collapsed="false">
      <c r="A151" s="2"/>
      <c r="B151" s="255" t="s">
        <v>1802</v>
      </c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"/>
      <c r="P151" s="2"/>
    </row>
    <row r="152" customFormat="false" ht="75" hidden="false" customHeight="true" outlineLevel="0" collapsed="false">
      <c r="A152" s="2"/>
      <c r="B152" s="255" t="s">
        <v>1279</v>
      </c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"/>
      <c r="P152" s="2"/>
    </row>
  </sheetData>
  <autoFilter ref="B5:F152"/>
  <mergeCells count="5">
    <mergeCell ref="B2:P2"/>
    <mergeCell ref="B3:P3"/>
    <mergeCell ref="B5:D5"/>
    <mergeCell ref="B151:N151"/>
    <mergeCell ref="B152:N152"/>
  </mergeCells>
  <conditionalFormatting sqref="E6:E152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{31C2752A-A38D-4AFA-896A-9B3188DCFE6F}</x14:id>
        </ext>
      </extLst>
    </cfRule>
  </conditionalFormatting>
  <conditionalFormatting sqref="F6:F152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{43F4D442-AB8C-48F2-B7F5-18A9AD3BD334}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C2752A-A38D-4AFA-896A-9B3188DCFE6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E6:E152</xm:sqref>
        </x14:conditionalFormatting>
        <x14:conditionalFormatting xmlns:xm="http://schemas.microsoft.com/office/excel/2006/main">
          <x14:cfRule type="dataBar" id="{43F4D442-AB8C-48F2-B7F5-18A9AD3BD334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F6:F152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7A3A"/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1804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1805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1806</v>
      </c>
      <c r="C6" s="258" t="s">
        <v>1807</v>
      </c>
      <c r="D6" s="258" t="s">
        <v>1808</v>
      </c>
      <c r="E6" s="258" t="s">
        <v>1809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1811</v>
      </c>
      <c r="C7" s="260" t="n">
        <v>2.5</v>
      </c>
      <c r="D7" s="260" t="n">
        <v>0.74</v>
      </c>
      <c r="E7" s="260" t="n">
        <v>4.44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1811</v>
      </c>
      <c r="C8" s="262" t="n">
        <v>3</v>
      </c>
      <c r="D8" s="262" t="n">
        <v>0.885</v>
      </c>
      <c r="E8" s="262" t="n">
        <v>5.31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1819</v>
      </c>
      <c r="C9" s="260" t="n">
        <v>2.5</v>
      </c>
      <c r="D9" s="260" t="n">
        <v>0.946</v>
      </c>
      <c r="E9" s="260" t="n">
        <v>5.676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1819</v>
      </c>
      <c r="C10" s="262" t="n">
        <v>2.7</v>
      </c>
      <c r="D10" s="262" t="n">
        <v>1.03</v>
      </c>
      <c r="E10" s="262" t="n">
        <v>6.18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1819</v>
      </c>
      <c r="C11" s="260" t="n">
        <v>3</v>
      </c>
      <c r="D11" s="260" t="n">
        <v>1.12</v>
      </c>
      <c r="E11" s="260" t="n">
        <v>6.72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1819</v>
      </c>
      <c r="C12" s="262" t="n">
        <v>4</v>
      </c>
      <c r="D12" s="262" t="n">
        <v>1.45</v>
      </c>
      <c r="E12" s="262" t="n">
        <v>8.7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1819</v>
      </c>
      <c r="C13" s="260" t="n">
        <v>5</v>
      </c>
      <c r="D13" s="260" t="n">
        <v>1.76</v>
      </c>
      <c r="E13" s="260" t="n">
        <v>10.56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1819</v>
      </c>
      <c r="C14" s="262" t="n">
        <v>6</v>
      </c>
      <c r="D14" s="262" t="n">
        <v>2.24</v>
      </c>
      <c r="E14" s="262" t="n">
        <v>13.44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1842</v>
      </c>
      <c r="C15" s="260" t="n">
        <v>2.5</v>
      </c>
      <c r="D15" s="260" t="n">
        <v>1.14</v>
      </c>
      <c r="E15" s="260" t="n">
        <v>6.84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1842</v>
      </c>
      <c r="C16" s="262" t="n">
        <v>2.7</v>
      </c>
      <c r="D16" s="262" t="n">
        <v>1.25</v>
      </c>
      <c r="E16" s="262" t="n">
        <v>7.5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1842</v>
      </c>
      <c r="C17" s="260" t="n">
        <v>3</v>
      </c>
      <c r="D17" s="260" t="n">
        <v>1.36</v>
      </c>
      <c r="E17" s="260" t="n">
        <v>8.16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1842</v>
      </c>
      <c r="C18" s="262" t="n">
        <v>4</v>
      </c>
      <c r="D18" s="262" t="n">
        <v>1.76</v>
      </c>
      <c r="E18" s="262" t="n">
        <v>10.56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1842</v>
      </c>
      <c r="C19" s="260" t="n">
        <v>5</v>
      </c>
      <c r="D19" s="260" t="n">
        <v>2.16</v>
      </c>
      <c r="E19" s="260" t="n">
        <v>12.96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1842</v>
      </c>
      <c r="C20" s="262" t="n">
        <v>6</v>
      </c>
      <c r="D20" s="262" t="n">
        <v>2.74</v>
      </c>
      <c r="E20" s="262" t="n">
        <v>16.44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1858</v>
      </c>
      <c r="C21" s="260" t="n">
        <v>2.5</v>
      </c>
      <c r="D21" s="260" t="n">
        <v>1.46</v>
      </c>
      <c r="E21" s="260" t="n">
        <v>8.76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1858</v>
      </c>
      <c r="C22" s="262" t="n">
        <v>2.7</v>
      </c>
      <c r="D22" s="262" t="n">
        <v>1.6</v>
      </c>
      <c r="E22" s="262" t="n">
        <v>9.6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1858</v>
      </c>
      <c r="C23" s="260" t="n">
        <v>3</v>
      </c>
      <c r="D23" s="260" t="n">
        <v>1.74</v>
      </c>
      <c r="E23" s="260" t="n">
        <v>10.44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1858</v>
      </c>
      <c r="C24" s="262" t="n">
        <v>3.7</v>
      </c>
      <c r="D24" s="262" t="n">
        <v>2.08</v>
      </c>
      <c r="E24" s="262" t="n">
        <v>12.48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1858</v>
      </c>
      <c r="C25" s="260" t="n">
        <v>4</v>
      </c>
      <c r="D25" s="260" t="n">
        <v>2.26</v>
      </c>
      <c r="E25" s="260" t="n">
        <v>13.56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1858</v>
      </c>
      <c r="C26" s="262" t="n">
        <v>5</v>
      </c>
      <c r="D26" s="262" t="n">
        <v>2.79</v>
      </c>
      <c r="E26" s="262" t="n">
        <v>16.74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1858</v>
      </c>
      <c r="C27" s="260" t="n">
        <v>6</v>
      </c>
      <c r="D27" s="260" t="n">
        <v>3.5</v>
      </c>
      <c r="E27" s="260" t="n">
        <v>21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1878</v>
      </c>
      <c r="C28" s="262" t="n">
        <v>3</v>
      </c>
      <c r="D28" s="262" t="n">
        <v>1.83</v>
      </c>
      <c r="E28" s="262" t="n">
        <v>10.98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1878</v>
      </c>
      <c r="C29" s="260" t="n">
        <v>3.7</v>
      </c>
      <c r="D29" s="260" t="n">
        <v>2.2</v>
      </c>
      <c r="E29" s="260" t="n">
        <v>13.2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1878</v>
      </c>
      <c r="C30" s="262" t="n">
        <v>4</v>
      </c>
      <c r="D30" s="262" t="n">
        <v>2.42</v>
      </c>
      <c r="E30" s="262" t="n">
        <v>14.56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1878</v>
      </c>
      <c r="C31" s="260" t="n">
        <v>5</v>
      </c>
      <c r="D31" s="260" t="n">
        <v>2.95</v>
      </c>
      <c r="E31" s="260" t="n">
        <v>17.7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1878</v>
      </c>
      <c r="C32" s="262" t="n">
        <v>6</v>
      </c>
      <c r="D32" s="262" t="n">
        <v>3.52</v>
      </c>
      <c r="E32" s="262" t="n">
        <v>21.12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1893</v>
      </c>
      <c r="C33" s="260" t="n">
        <v>3</v>
      </c>
      <c r="D33" s="260" t="n">
        <v>2.06</v>
      </c>
      <c r="E33" s="260" t="n">
        <v>12.36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1893</v>
      </c>
      <c r="C34" s="262" t="n">
        <v>4</v>
      </c>
      <c r="D34" s="262" t="n">
        <v>2.74</v>
      </c>
      <c r="E34" s="262" t="n">
        <v>16.44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1893</v>
      </c>
      <c r="C35" s="260" t="n">
        <v>5</v>
      </c>
      <c r="D35" s="260" t="n">
        <v>3.38</v>
      </c>
      <c r="E35" s="260" t="n">
        <v>20.28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1893</v>
      </c>
      <c r="C36" s="262" t="n">
        <v>6</v>
      </c>
      <c r="D36" s="262" t="n">
        <v>3.96</v>
      </c>
      <c r="E36" s="262" t="n">
        <v>23.76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1893</v>
      </c>
      <c r="C37" s="260" t="n">
        <v>8</v>
      </c>
      <c r="D37" s="260" t="n">
        <v>5.15</v>
      </c>
      <c r="E37" s="260" t="n">
        <v>30.9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1908</v>
      </c>
      <c r="C38" s="262" t="n">
        <v>3</v>
      </c>
      <c r="D38" s="262" t="n">
        <v>2.33</v>
      </c>
      <c r="E38" s="262" t="n">
        <v>13.98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1908</v>
      </c>
      <c r="C39" s="260" t="n">
        <v>3.7</v>
      </c>
      <c r="D39" s="260" t="n">
        <v>2.82</v>
      </c>
      <c r="E39" s="260" t="n">
        <v>16.92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1908</v>
      </c>
      <c r="C40" s="262" t="n">
        <v>4</v>
      </c>
      <c r="D40" s="262" t="n">
        <v>3.06</v>
      </c>
      <c r="E40" s="262" t="n">
        <v>18.36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1908</v>
      </c>
      <c r="C41" s="260" t="n">
        <v>5</v>
      </c>
      <c r="D41" s="260" t="n">
        <v>3.77</v>
      </c>
      <c r="E41" s="260" t="n">
        <v>22.62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1908</v>
      </c>
      <c r="C42" s="262" t="n">
        <v>5.5</v>
      </c>
      <c r="D42" s="262" t="n">
        <v>4.08</v>
      </c>
      <c r="E42" s="262" t="n">
        <v>24.48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1908</v>
      </c>
      <c r="C43" s="260" t="n">
        <v>6</v>
      </c>
      <c r="D43" s="260" t="n">
        <v>4.43</v>
      </c>
      <c r="E43" s="260" t="n">
        <v>26.58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1908</v>
      </c>
      <c r="C44" s="262" t="n">
        <v>8</v>
      </c>
      <c r="D44" s="262" t="n">
        <v>5.78</v>
      </c>
      <c r="E44" s="262" t="n">
        <v>34.68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1908</v>
      </c>
      <c r="C45" s="260" t="n">
        <v>9</v>
      </c>
      <c r="D45" s="260" t="n">
        <v>6.99</v>
      </c>
      <c r="E45" s="260" t="n">
        <v>41.94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1933</v>
      </c>
      <c r="C46" s="262" t="n">
        <v>4</v>
      </c>
      <c r="D46" s="262" t="n">
        <v>3.68</v>
      </c>
      <c r="E46" s="262" t="n">
        <v>22.08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1933</v>
      </c>
      <c r="C47" s="260" t="n">
        <v>5</v>
      </c>
      <c r="D47" s="260" t="n">
        <v>4.55</v>
      </c>
      <c r="E47" s="260" t="n">
        <v>27.3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1933</v>
      </c>
      <c r="C48" s="262" t="n">
        <v>6</v>
      </c>
      <c r="D48" s="262" t="n">
        <v>5.42</v>
      </c>
      <c r="E48" s="262" t="n">
        <v>32.52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1933</v>
      </c>
      <c r="C49" s="260" t="n">
        <v>7</v>
      </c>
      <c r="D49" s="260" t="n">
        <v>6.21</v>
      </c>
      <c r="E49" s="260" t="n">
        <v>37.26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1933</v>
      </c>
      <c r="C50" s="262" t="n">
        <v>9</v>
      </c>
      <c r="D50" s="262" t="n">
        <v>7.85</v>
      </c>
      <c r="E50" s="262" t="n">
        <v>47.1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1948</v>
      </c>
      <c r="C51" s="260" t="n">
        <v>5</v>
      </c>
      <c r="D51" s="260" t="n">
        <v>4.81</v>
      </c>
      <c r="E51" s="260" t="n">
        <v>28.86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1948</v>
      </c>
      <c r="C52" s="262" t="n">
        <v>6</v>
      </c>
      <c r="D52" s="262" t="n">
        <v>5.72</v>
      </c>
      <c r="E52" s="262" t="n">
        <v>34.32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1948</v>
      </c>
      <c r="C53" s="260" t="n">
        <v>8</v>
      </c>
      <c r="D53" s="260" t="n">
        <v>7.62</v>
      </c>
      <c r="E53" s="260" t="n">
        <v>45.72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1958</v>
      </c>
      <c r="C54" s="262" t="n">
        <v>5</v>
      </c>
      <c r="D54" s="262" t="n">
        <v>5</v>
      </c>
      <c r="E54" s="262" t="n">
        <v>30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1958</v>
      </c>
      <c r="C55" s="260" t="n">
        <v>5.5</v>
      </c>
      <c r="D55" s="260" t="n">
        <v>5.43</v>
      </c>
      <c r="E55" s="260" t="n">
        <v>32.58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1958</v>
      </c>
      <c r="C56" s="262" t="n">
        <v>6</v>
      </c>
      <c r="D56" s="262" t="n">
        <v>5.91</v>
      </c>
      <c r="E56" s="262" t="n">
        <v>35.46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1958</v>
      </c>
      <c r="C57" s="260" t="n">
        <v>7.3</v>
      </c>
      <c r="D57" s="260" t="n">
        <v>7.05</v>
      </c>
      <c r="E57" s="260" t="n">
        <v>42.3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1958</v>
      </c>
      <c r="C58" s="262" t="n">
        <v>8</v>
      </c>
      <c r="D58" s="262" t="n">
        <v>7.66</v>
      </c>
      <c r="E58" s="262" t="n">
        <v>45.96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1958</v>
      </c>
      <c r="C59" s="260" t="n">
        <v>9</v>
      </c>
      <c r="D59" s="260" t="n">
        <v>8.62</v>
      </c>
      <c r="E59" s="260" t="n">
        <v>51.72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1958</v>
      </c>
      <c r="C60" s="262" t="n">
        <v>10</v>
      </c>
      <c r="D60" s="262" t="n">
        <v>9.42</v>
      </c>
      <c r="E60" s="262" t="n">
        <v>56.52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1977</v>
      </c>
      <c r="C61" s="260" t="n">
        <v>5</v>
      </c>
      <c r="D61" s="260" t="n">
        <v>5.37</v>
      </c>
      <c r="E61" s="260" t="n">
        <v>32.22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1977</v>
      </c>
      <c r="C62" s="262" t="n">
        <v>6</v>
      </c>
      <c r="D62" s="262" t="n">
        <v>6.38</v>
      </c>
      <c r="E62" s="262" t="n">
        <v>38.28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1977</v>
      </c>
      <c r="C63" s="260" t="n">
        <v>7</v>
      </c>
      <c r="D63" s="260" t="n">
        <v>7.38</v>
      </c>
      <c r="E63" s="260" t="n">
        <v>44.28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1977</v>
      </c>
      <c r="C64" s="262" t="n">
        <v>8</v>
      </c>
      <c r="D64" s="262" t="n">
        <v>8.29</v>
      </c>
      <c r="E64" s="262" t="n">
        <v>49.74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1977</v>
      </c>
      <c r="C65" s="260" t="n">
        <v>10</v>
      </c>
      <c r="D65" s="260" t="n">
        <v>10.2</v>
      </c>
      <c r="E65" s="260" t="n">
        <v>61.2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1992</v>
      </c>
      <c r="C66" s="262" t="n">
        <v>5</v>
      </c>
      <c r="D66" s="262" t="n">
        <v>5.76</v>
      </c>
      <c r="E66" s="262" t="n">
        <v>34.56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1992</v>
      </c>
      <c r="C67" s="260" t="n">
        <v>5.5</v>
      </c>
      <c r="D67" s="260" t="n">
        <v>6.3</v>
      </c>
      <c r="E67" s="260" t="n">
        <v>37.8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1992</v>
      </c>
      <c r="C68" s="262" t="n">
        <v>6</v>
      </c>
      <c r="D68" s="262" t="n">
        <v>6.85</v>
      </c>
      <c r="E68" s="262" t="n">
        <v>41.1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1992</v>
      </c>
      <c r="C69" s="260" t="n">
        <v>7</v>
      </c>
      <c r="D69" s="260" t="n">
        <v>7.81</v>
      </c>
      <c r="E69" s="260" t="n">
        <v>46.86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1992</v>
      </c>
      <c r="C70" s="262" t="n">
        <v>8</v>
      </c>
      <c r="D70" s="262" t="n">
        <v>9.03</v>
      </c>
      <c r="E70" s="262" t="n">
        <v>54.18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1992</v>
      </c>
      <c r="C71" s="260" t="n">
        <v>8.2</v>
      </c>
      <c r="D71" s="260" t="n">
        <v>9.17</v>
      </c>
      <c r="E71" s="260" t="n">
        <v>55.02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1992</v>
      </c>
      <c r="C72" s="262" t="n">
        <v>9</v>
      </c>
      <c r="D72" s="262" t="n">
        <v>9.96</v>
      </c>
      <c r="E72" s="262" t="n">
        <v>59.76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1992</v>
      </c>
      <c r="C73" s="260" t="n">
        <v>12</v>
      </c>
      <c r="D73" s="260" t="n">
        <v>13</v>
      </c>
      <c r="E73" s="260" t="n">
        <v>78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2018</v>
      </c>
      <c r="C74" s="262" t="n">
        <v>6</v>
      </c>
      <c r="D74" s="262" t="n">
        <v>7.32</v>
      </c>
      <c r="E74" s="262" t="n">
        <v>43.92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2018</v>
      </c>
      <c r="C75" s="260" t="n">
        <v>8</v>
      </c>
      <c r="D75" s="260" t="n">
        <v>9.66</v>
      </c>
      <c r="E75" s="260" t="n">
        <v>57.96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2018</v>
      </c>
      <c r="C76" s="262" t="n">
        <v>9</v>
      </c>
      <c r="D76" s="262" t="n">
        <v>10.7</v>
      </c>
      <c r="E76" s="262" t="n">
        <v>64.2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2018</v>
      </c>
      <c r="C77" s="260" t="n">
        <v>12</v>
      </c>
      <c r="D77" s="260" t="n">
        <v>13.9</v>
      </c>
      <c r="E77" s="260" t="n">
        <v>83.4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2031</v>
      </c>
      <c r="C78" s="262" t="n">
        <v>6</v>
      </c>
      <c r="D78" s="262" t="n">
        <v>8.28</v>
      </c>
      <c r="E78" s="262" t="n">
        <v>49.68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2031</v>
      </c>
      <c r="C79" s="260" t="n">
        <v>7</v>
      </c>
      <c r="D79" s="260" t="n">
        <v>9.59</v>
      </c>
      <c r="E79" s="260" t="n">
        <v>57.54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2031</v>
      </c>
      <c r="C80" s="262" t="n">
        <v>8</v>
      </c>
      <c r="D80" s="262" t="n">
        <v>10.9</v>
      </c>
      <c r="E80" s="262" t="n">
        <v>65.4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2031</v>
      </c>
      <c r="C81" s="260" t="n">
        <v>9</v>
      </c>
      <c r="D81" s="260" t="n">
        <v>12.2</v>
      </c>
      <c r="E81" s="260" t="n">
        <v>73.2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2031</v>
      </c>
      <c r="C82" s="262" t="n">
        <v>10</v>
      </c>
      <c r="D82" s="262" t="n">
        <v>13.3</v>
      </c>
      <c r="E82" s="262" t="n">
        <v>79.8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2031</v>
      </c>
      <c r="C83" s="260" t="n">
        <v>12</v>
      </c>
      <c r="D83" s="260" t="n">
        <v>15.9</v>
      </c>
      <c r="E83" s="260" t="n">
        <v>95.4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2031</v>
      </c>
      <c r="C84" s="262" t="n">
        <v>13</v>
      </c>
      <c r="D84" s="262" t="n">
        <v>17</v>
      </c>
      <c r="E84" s="262" t="n">
        <v>102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2052</v>
      </c>
      <c r="C85" s="260" t="n">
        <v>6</v>
      </c>
      <c r="D85" s="260" t="n">
        <v>9.2</v>
      </c>
      <c r="E85" s="260" t="n">
        <v>55.2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2052</v>
      </c>
      <c r="C86" s="262" t="n">
        <v>7</v>
      </c>
      <c r="D86" s="262" t="n">
        <v>10.7</v>
      </c>
      <c r="E86" s="262" t="n">
        <v>64.2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2052</v>
      </c>
      <c r="C87" s="260" t="n">
        <v>8</v>
      </c>
      <c r="D87" s="260" t="n">
        <v>12.2</v>
      </c>
      <c r="E87" s="260" t="n">
        <v>73.2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2052</v>
      </c>
      <c r="C88" s="262" t="n">
        <v>9</v>
      </c>
      <c r="D88" s="262" t="n">
        <v>13.5</v>
      </c>
      <c r="E88" s="262" t="n">
        <v>81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2052</v>
      </c>
      <c r="C89" s="260" t="n">
        <v>10</v>
      </c>
      <c r="D89" s="260" t="n">
        <v>15</v>
      </c>
      <c r="E89" s="260" t="n">
        <v>90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2052</v>
      </c>
      <c r="C90" s="262" t="n">
        <v>12</v>
      </c>
      <c r="D90" s="262" t="n">
        <v>17.8</v>
      </c>
      <c r="E90" s="262" t="n">
        <v>106.8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2052</v>
      </c>
      <c r="C91" s="260" t="n">
        <v>13</v>
      </c>
      <c r="D91" s="260" t="n">
        <v>19.1</v>
      </c>
      <c r="E91" s="260" t="n">
        <v>114.6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2052</v>
      </c>
      <c r="C92" s="262" t="n">
        <v>15</v>
      </c>
      <c r="D92" s="262" t="n">
        <v>21.9</v>
      </c>
      <c r="E92" s="262" t="n">
        <v>131.4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2073</v>
      </c>
      <c r="C93" s="260" t="n">
        <v>8</v>
      </c>
      <c r="D93" s="260" t="n">
        <v>13.4</v>
      </c>
      <c r="E93" s="260" t="n">
        <v>80.4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2073</v>
      </c>
      <c r="C94" s="262" t="n">
        <v>10</v>
      </c>
      <c r="D94" s="262" t="n">
        <v>16.6</v>
      </c>
      <c r="E94" s="262" t="n">
        <v>99.6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2073</v>
      </c>
      <c r="C95" s="260" t="n">
        <v>12</v>
      </c>
      <c r="D95" s="260" t="n">
        <v>19.9</v>
      </c>
      <c r="E95" s="260" t="n">
        <v>119.4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2073</v>
      </c>
      <c r="C96" s="262" t="n">
        <v>16</v>
      </c>
      <c r="D96" s="262" t="n">
        <v>26.6</v>
      </c>
      <c r="E96" s="262" t="n">
        <v>159.6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2085</v>
      </c>
      <c r="C97" s="260" t="n">
        <v>8</v>
      </c>
      <c r="D97" s="260" t="n">
        <v>14.7</v>
      </c>
      <c r="E97" s="260" t="n">
        <v>88.2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2085</v>
      </c>
      <c r="C98" s="262" t="n">
        <v>10</v>
      </c>
      <c r="D98" s="262" t="n">
        <v>18.2</v>
      </c>
      <c r="E98" s="262" t="n">
        <v>109.2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2085</v>
      </c>
      <c r="C99" s="260" t="n">
        <v>12</v>
      </c>
      <c r="D99" s="260" t="n">
        <v>21.6</v>
      </c>
      <c r="E99" s="260" t="n">
        <v>129.6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2085</v>
      </c>
      <c r="C100" s="262" t="n">
        <v>15</v>
      </c>
      <c r="D100" s="262" t="n">
        <v>26.6</v>
      </c>
      <c r="E100" s="262" t="n">
        <v>159.6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2094</v>
      </c>
      <c r="C101" s="260" t="n">
        <v>8</v>
      </c>
      <c r="D101" s="260" t="n">
        <v>15.55</v>
      </c>
      <c r="E101" s="260" t="n">
        <v>93.3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2094</v>
      </c>
      <c r="C102" s="262" t="n">
        <v>9</v>
      </c>
      <c r="D102" s="262" t="n">
        <v>17.2</v>
      </c>
      <c r="E102" s="262" t="n">
        <v>103.2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2094</v>
      </c>
      <c r="C103" s="260" t="n">
        <v>10</v>
      </c>
      <c r="D103" s="260" t="n">
        <v>19.2</v>
      </c>
      <c r="E103" s="260" t="n">
        <v>115.2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2094</v>
      </c>
      <c r="C104" s="262" t="n">
        <v>12</v>
      </c>
      <c r="D104" s="262" t="n">
        <v>22.7</v>
      </c>
      <c r="E104" s="262" t="n">
        <v>136.2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2107</v>
      </c>
      <c r="C105" s="260" t="n">
        <v>8</v>
      </c>
      <c r="D105" s="260" t="n">
        <v>15.9</v>
      </c>
      <c r="E105" s="260" t="n">
        <v>95.4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2107</v>
      </c>
      <c r="C106" s="262" t="n">
        <v>9</v>
      </c>
      <c r="D106" s="262" t="n">
        <v>17.9</v>
      </c>
      <c r="E106" s="262" t="n">
        <v>107.4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2107</v>
      </c>
      <c r="C107" s="260" t="n">
        <v>10</v>
      </c>
      <c r="D107" s="260" t="n">
        <v>19.7</v>
      </c>
      <c r="E107" s="260" t="n">
        <v>118.2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2107</v>
      </c>
      <c r="C108" s="262" t="n">
        <v>11</v>
      </c>
      <c r="D108" s="262" t="n">
        <v>21.5</v>
      </c>
      <c r="E108" s="262" t="n">
        <v>129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2107</v>
      </c>
      <c r="C109" s="260" t="n">
        <v>12</v>
      </c>
      <c r="D109" s="260" t="n">
        <v>23.5</v>
      </c>
      <c r="E109" s="260" t="n">
        <v>141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2107</v>
      </c>
      <c r="C110" s="262" t="n">
        <v>15</v>
      </c>
      <c r="D110" s="262" t="n">
        <v>28.8</v>
      </c>
      <c r="E110" s="262" t="n">
        <v>172.8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2107</v>
      </c>
      <c r="C111" s="260" t="n">
        <v>16</v>
      </c>
      <c r="D111" s="260" t="n">
        <v>30.7</v>
      </c>
      <c r="E111" s="260" t="n">
        <v>184.2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2128</v>
      </c>
      <c r="C112" s="262" t="n">
        <v>10</v>
      </c>
      <c r="D112" s="262" t="n">
        <v>23</v>
      </c>
      <c r="E112" s="262" t="n">
        <v>138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2128</v>
      </c>
      <c r="C113" s="260" t="n">
        <v>11</v>
      </c>
      <c r="D113" s="260" t="n">
        <v>25.1</v>
      </c>
      <c r="E113" s="260" t="n">
        <v>150.6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2128</v>
      </c>
      <c r="C114" s="262" t="n">
        <v>12</v>
      </c>
      <c r="D114" s="262" t="n">
        <v>27.3</v>
      </c>
      <c r="E114" s="262" t="n">
        <v>163.8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2128</v>
      </c>
      <c r="C115" s="260" t="n">
        <v>15</v>
      </c>
      <c r="D115" s="260" t="n">
        <v>33.6</v>
      </c>
      <c r="E115" s="260" t="n">
        <v>201.6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2128</v>
      </c>
      <c r="C116" s="262" t="n">
        <v>18</v>
      </c>
      <c r="D116" s="262" t="n">
        <v>40.1</v>
      </c>
      <c r="E116" s="262" t="n">
        <v>240.6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2128</v>
      </c>
      <c r="C117" s="260" t="n">
        <v>19</v>
      </c>
      <c r="D117" s="260" t="n">
        <v>41.9</v>
      </c>
      <c r="E117" s="260" t="n">
        <v>251.4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2143</v>
      </c>
      <c r="C118" s="262" t="n">
        <v>12</v>
      </c>
      <c r="D118" s="262" t="n">
        <v>31.8</v>
      </c>
      <c r="E118" s="262" t="n">
        <v>190.8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2143</v>
      </c>
      <c r="C119" s="260" t="n">
        <v>15</v>
      </c>
      <c r="D119" s="260" t="n">
        <v>39.4</v>
      </c>
      <c r="E119" s="260" t="n">
        <v>236.4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2149</v>
      </c>
      <c r="C120" s="262" t="n">
        <v>12</v>
      </c>
      <c r="D120" s="262" t="n">
        <v>36.2</v>
      </c>
      <c r="E120" s="262" t="n">
        <v>217.2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2149</v>
      </c>
      <c r="C121" s="260" t="n">
        <v>15</v>
      </c>
      <c r="D121" s="260" t="n">
        <v>45.3</v>
      </c>
      <c r="E121" s="260" t="n">
        <v>271.8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2149</v>
      </c>
      <c r="C122" s="262" t="n">
        <v>16</v>
      </c>
      <c r="D122" s="262" t="n">
        <v>48.5</v>
      </c>
      <c r="E122" s="262" t="n">
        <v>291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2149</v>
      </c>
      <c r="C123" s="260" t="n">
        <v>18</v>
      </c>
      <c r="D123" s="260" t="n">
        <v>54.2</v>
      </c>
      <c r="E123" s="260" t="n">
        <v>325.2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2149</v>
      </c>
      <c r="C124" s="262" t="n">
        <v>20</v>
      </c>
      <c r="D124" s="262" t="n">
        <v>59.9</v>
      </c>
      <c r="E124" s="262" t="n">
        <v>359.4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2149</v>
      </c>
      <c r="C125" s="260" t="n">
        <v>24</v>
      </c>
      <c r="D125" s="260" t="n">
        <v>71.1</v>
      </c>
      <c r="E125" s="260" t="n">
        <v>426.6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2149</v>
      </c>
      <c r="C126" s="262" t="n">
        <v>25</v>
      </c>
      <c r="D126" s="262" t="n">
        <v>73.6</v>
      </c>
      <c r="E126" s="262" t="n">
        <v>441.6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59" t="s">
        <v>2149</v>
      </c>
      <c r="C127" s="260" t="n">
        <v>29</v>
      </c>
      <c r="D127" s="260" t="n">
        <v>84.5</v>
      </c>
      <c r="E127" s="260" t="n">
        <v>507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1" t="s">
        <v>2176</v>
      </c>
      <c r="C128" s="262" t="n">
        <v>25</v>
      </c>
      <c r="D128" s="262" t="n">
        <v>93.7</v>
      </c>
      <c r="E128" s="262" t="n">
        <v>562.2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59" t="s">
        <v>2176</v>
      </c>
      <c r="C129" s="260" t="n">
        <v>28</v>
      </c>
      <c r="D129" s="260" t="n">
        <v>104</v>
      </c>
      <c r="E129" s="260" t="n">
        <v>624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61" t="s">
        <v>2176</v>
      </c>
      <c r="C130" s="262" t="n">
        <v>32</v>
      </c>
      <c r="D130" s="262" t="n">
        <v>118</v>
      </c>
      <c r="E130" s="262" t="n">
        <v>708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59" t="s">
        <v>2176</v>
      </c>
      <c r="C131" s="260" t="n">
        <v>35</v>
      </c>
      <c r="D131" s="260" t="n">
        <v>128</v>
      </c>
      <c r="E131" s="260" t="n">
        <v>768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1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7.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120" hidden="false" customHeight="true" outlineLevel="0" collapsed="false">
      <c r="A134" s="2"/>
      <c r="B134" s="255" t="s">
        <v>1802</v>
      </c>
      <c r="C134" s="255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"/>
      <c r="P134" s="2"/>
    </row>
    <row r="135" customFormat="false" ht="105" hidden="false" customHeight="true" outlineLevel="0" collapsed="false">
      <c r="A135" s="2"/>
      <c r="B135" s="255" t="s">
        <v>1279</v>
      </c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"/>
      <c r="P135" s="2"/>
    </row>
  </sheetData>
  <autoFilter ref="B5:F135"/>
  <mergeCells count="5">
    <mergeCell ref="B2:P2"/>
    <mergeCell ref="B3:P3"/>
    <mergeCell ref="B5:E5"/>
    <mergeCell ref="B134:N134"/>
    <mergeCell ref="B135:N135"/>
  </mergeCells>
  <conditionalFormatting sqref="E6:E135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{001CAB27-55E9-4C94-B0D0-7FF1C09C245F}</x14:id>
        </ext>
      </extLst>
    </cfRule>
  </conditionalFormatting>
  <conditionalFormatting sqref="F6:F135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{2CE98C4F-41AF-4F6F-B764-B25DD68EBF1E}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1CAB27-55E9-4C94-B0D0-7FF1C09C245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E6:E135</xm:sqref>
        </x14:conditionalFormatting>
        <x14:conditionalFormatting xmlns:xm="http://schemas.microsoft.com/office/excel/2006/main">
          <x14:cfRule type="dataBar" id="{2CE98C4F-41AF-4F6F-B764-B25DD68EBF1E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F6:F135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7A3A"/>
    <pageSetUpPr fitToPage="false"/>
  </sheetPr>
  <dimension ref="A1:P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90" hidden="false" customHeight="true" outlineLevel="0" collapsed="false">
      <c r="A3" s="2"/>
      <c r="B3" s="250" t="s">
        <v>2192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2193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2194</v>
      </c>
      <c r="C6" s="258" t="s">
        <v>2195</v>
      </c>
      <c r="D6" s="258" t="s">
        <v>2196</v>
      </c>
      <c r="E6" s="258" t="s">
        <v>2197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2199</v>
      </c>
      <c r="C7" s="263" t="n">
        <v>6</v>
      </c>
      <c r="D7" s="260" t="n">
        <v>4.72</v>
      </c>
      <c r="E7" s="260" t="n">
        <v>28.32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2199</v>
      </c>
      <c r="C8" s="264" t="n">
        <v>5</v>
      </c>
      <c r="D8" s="262" t="n">
        <v>4.36</v>
      </c>
      <c r="E8" s="262" t="n">
        <v>26.16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2206</v>
      </c>
      <c r="C9" s="263" t="n">
        <v>6</v>
      </c>
      <c r="D9" s="260" t="n">
        <v>5.16</v>
      </c>
      <c r="E9" s="260" t="n">
        <v>30.96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2206</v>
      </c>
      <c r="C10" s="264" t="n">
        <v>7</v>
      </c>
      <c r="D10" s="262" t="n">
        <v>5.94</v>
      </c>
      <c r="E10" s="262" t="n">
        <v>35.64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2206</v>
      </c>
      <c r="C11" s="263" t="n">
        <v>9</v>
      </c>
      <c r="D11" s="260" t="n">
        <v>7.49</v>
      </c>
      <c r="E11" s="260" t="n">
        <v>44.94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2216</v>
      </c>
      <c r="C12" s="264" t="n">
        <v>6</v>
      </c>
      <c r="D12" s="262" t="n">
        <v>5.67</v>
      </c>
      <c r="E12" s="262" t="n">
        <v>34.02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2216</v>
      </c>
      <c r="C13" s="263" t="n">
        <v>8</v>
      </c>
      <c r="D13" s="260" t="n">
        <v>7.35</v>
      </c>
      <c r="E13" s="260" t="n">
        <v>44.1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2216</v>
      </c>
      <c r="C14" s="264" t="n">
        <v>9</v>
      </c>
      <c r="D14" s="262" t="n">
        <v>8.2</v>
      </c>
      <c r="E14" s="262" t="n">
        <v>49.2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2216</v>
      </c>
      <c r="C15" s="263" t="n">
        <v>10</v>
      </c>
      <c r="D15" s="260" t="n">
        <v>9.03</v>
      </c>
      <c r="E15" s="260" t="n">
        <v>54.18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2224</v>
      </c>
      <c r="C16" s="264" t="n">
        <v>6</v>
      </c>
      <c r="D16" s="262" t="n">
        <v>6.38</v>
      </c>
      <c r="E16" s="262" t="n">
        <v>38.28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2224</v>
      </c>
      <c r="C17" s="263" t="n">
        <v>8</v>
      </c>
      <c r="D17" s="260" t="n">
        <v>8.29</v>
      </c>
      <c r="E17" s="260" t="n">
        <v>49.74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2224</v>
      </c>
      <c r="C18" s="264" t="n">
        <v>10</v>
      </c>
      <c r="D18" s="262" t="n">
        <v>10.2</v>
      </c>
      <c r="E18" s="262" t="n">
        <v>61.2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2228</v>
      </c>
      <c r="C19" s="263" t="n">
        <v>6</v>
      </c>
      <c r="D19" s="260" t="n">
        <v>8.77</v>
      </c>
      <c r="E19" s="260" t="n">
        <v>52.62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2228</v>
      </c>
      <c r="C20" s="264" t="n">
        <v>7</v>
      </c>
      <c r="D20" s="262" t="n">
        <v>8.77</v>
      </c>
      <c r="E20" s="262" t="n">
        <v>52.62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2228</v>
      </c>
      <c r="C21" s="263" t="n">
        <v>8</v>
      </c>
      <c r="D21" s="260" t="n">
        <v>9.94</v>
      </c>
      <c r="E21" s="260" t="n">
        <v>59.64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2228</v>
      </c>
      <c r="C22" s="264" t="n">
        <v>9</v>
      </c>
      <c r="D22" s="262" t="n">
        <v>11</v>
      </c>
      <c r="E22" s="262" t="n">
        <v>66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2228</v>
      </c>
      <c r="C23" s="263" t="n">
        <v>10</v>
      </c>
      <c r="D23" s="260" t="n">
        <v>12.3</v>
      </c>
      <c r="E23" s="260" t="n">
        <v>73.8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2228</v>
      </c>
      <c r="C24" s="264" t="n">
        <v>12</v>
      </c>
      <c r="D24" s="262" t="n">
        <v>14.4</v>
      </c>
      <c r="E24" s="262" t="n">
        <v>86.4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2244</v>
      </c>
      <c r="C25" s="263" t="n">
        <v>6</v>
      </c>
      <c r="D25" s="260" t="n">
        <v>8.04</v>
      </c>
      <c r="E25" s="260" t="n">
        <v>48.24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2244</v>
      </c>
      <c r="C26" s="264" t="n">
        <v>7</v>
      </c>
      <c r="D26" s="262" t="n">
        <v>9.32</v>
      </c>
      <c r="E26" s="262" t="n">
        <v>55.92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2244</v>
      </c>
      <c r="C27" s="263" t="n">
        <v>8</v>
      </c>
      <c r="D27" s="260" t="n">
        <v>10.6</v>
      </c>
      <c r="E27" s="260" t="n">
        <v>63.6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2244</v>
      </c>
      <c r="C28" s="264" t="n">
        <v>9</v>
      </c>
      <c r="D28" s="262" t="n">
        <v>11.8</v>
      </c>
      <c r="E28" s="262" t="n">
        <v>70.8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2244</v>
      </c>
      <c r="C29" s="263" t="n">
        <v>10</v>
      </c>
      <c r="D29" s="260" t="n">
        <v>13</v>
      </c>
      <c r="E29" s="260" t="n">
        <v>78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2244</v>
      </c>
      <c r="C30" s="264" t="n">
        <v>12</v>
      </c>
      <c r="D30" s="262" t="n">
        <v>15.4</v>
      </c>
      <c r="E30" s="262" t="n">
        <v>92.4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2244</v>
      </c>
      <c r="C31" s="263" t="n">
        <v>13</v>
      </c>
      <c r="D31" s="260" t="n">
        <v>16.5</v>
      </c>
      <c r="E31" s="260" t="n">
        <v>99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2259</v>
      </c>
      <c r="C32" s="264" t="n">
        <v>7</v>
      </c>
      <c r="D32" s="262" t="n">
        <v>10.1</v>
      </c>
      <c r="E32" s="262" t="n">
        <v>60.6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2259</v>
      </c>
      <c r="C33" s="263" t="n">
        <v>10</v>
      </c>
      <c r="D33" s="260" t="n">
        <v>14.1</v>
      </c>
      <c r="E33" s="260" t="n">
        <v>84.6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2259</v>
      </c>
      <c r="C34" s="264" t="n">
        <v>13</v>
      </c>
      <c r="D34" s="262" t="n">
        <v>18.1</v>
      </c>
      <c r="E34" s="262" t="n">
        <v>108.6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2267</v>
      </c>
      <c r="C35" s="263" t="n">
        <v>7</v>
      </c>
      <c r="D35" s="260" t="n">
        <v>10.7</v>
      </c>
      <c r="E35" s="260" t="n">
        <v>64.2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2267</v>
      </c>
      <c r="C36" s="264" t="n">
        <v>8</v>
      </c>
      <c r="D36" s="262" t="n">
        <v>12.2</v>
      </c>
      <c r="E36" s="262" t="n">
        <v>73.2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2267</v>
      </c>
      <c r="C37" s="263" t="n">
        <v>9</v>
      </c>
      <c r="D37" s="260" t="n">
        <v>13.5</v>
      </c>
      <c r="E37" s="260" t="n">
        <v>81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2267</v>
      </c>
      <c r="C38" s="264" t="n">
        <v>10</v>
      </c>
      <c r="D38" s="262" t="n">
        <v>14.9</v>
      </c>
      <c r="E38" s="262" t="n">
        <v>89.4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2267</v>
      </c>
      <c r="C39" s="263" t="n">
        <v>12</v>
      </c>
      <c r="D39" s="260" t="n">
        <v>17.8</v>
      </c>
      <c r="E39" s="260" t="n">
        <v>106.8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2273</v>
      </c>
      <c r="C40" s="264" t="n">
        <v>13</v>
      </c>
      <c r="D40" s="262" t="n">
        <v>19.1</v>
      </c>
      <c r="E40" s="262" t="n">
        <v>114.6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2275</v>
      </c>
      <c r="C41" s="263" t="n">
        <v>7</v>
      </c>
      <c r="D41" s="260" t="n">
        <v>11.5</v>
      </c>
      <c r="E41" s="260" t="n">
        <v>69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2275</v>
      </c>
      <c r="C42" s="264" t="n">
        <v>9</v>
      </c>
      <c r="D42" s="262" t="n">
        <v>14.6</v>
      </c>
      <c r="E42" s="262" t="n">
        <v>87.6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2275</v>
      </c>
      <c r="C43" s="263" t="n">
        <v>10</v>
      </c>
      <c r="D43" s="260" t="n">
        <v>17</v>
      </c>
      <c r="E43" s="260" t="n">
        <v>102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2275</v>
      </c>
      <c r="C44" s="264" t="n">
        <v>12</v>
      </c>
      <c r="D44" s="262" t="n">
        <v>20.1</v>
      </c>
      <c r="E44" s="262" t="n">
        <v>120.6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2275</v>
      </c>
      <c r="C45" s="263" t="n">
        <v>15</v>
      </c>
      <c r="D45" s="260" t="n">
        <v>24.8</v>
      </c>
      <c r="E45" s="260" t="n">
        <v>148.8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2288</v>
      </c>
      <c r="C46" s="264" t="n">
        <v>6</v>
      </c>
      <c r="D46" s="262" t="n">
        <v>13</v>
      </c>
      <c r="E46" s="262" t="n">
        <v>78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2288</v>
      </c>
      <c r="C47" s="263" t="n">
        <v>9</v>
      </c>
      <c r="D47" s="260" t="n">
        <v>15.3</v>
      </c>
      <c r="E47" s="260" t="n">
        <v>91.8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2288</v>
      </c>
      <c r="C48" s="264" t="n">
        <v>10</v>
      </c>
      <c r="D48" s="262" t="n">
        <v>17</v>
      </c>
      <c r="E48" s="262" t="n">
        <v>102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2288</v>
      </c>
      <c r="C49" s="263" t="n">
        <v>12</v>
      </c>
      <c r="D49" s="260" t="n">
        <v>20.1</v>
      </c>
      <c r="E49" s="260" t="n">
        <v>120.6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2288</v>
      </c>
      <c r="C50" s="264" t="n">
        <v>15</v>
      </c>
      <c r="D50" s="262" t="n">
        <v>26.5</v>
      </c>
      <c r="E50" s="262" t="n">
        <v>159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2298</v>
      </c>
      <c r="C51" s="263" t="n">
        <v>9</v>
      </c>
      <c r="D51" s="260" t="n">
        <v>17.1</v>
      </c>
      <c r="E51" s="260" t="n">
        <v>102.6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2298</v>
      </c>
      <c r="C52" s="264" t="n">
        <v>10</v>
      </c>
      <c r="D52" s="262" t="n">
        <v>18.79</v>
      </c>
      <c r="E52" s="262" t="n">
        <v>112.74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2298</v>
      </c>
      <c r="C53" s="263" t="n">
        <v>12</v>
      </c>
      <c r="D53" s="260" t="n">
        <v>22.4</v>
      </c>
      <c r="E53" s="260" t="n">
        <v>134.4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2298</v>
      </c>
      <c r="C54" s="264" t="n">
        <v>15</v>
      </c>
      <c r="D54" s="262" t="n">
        <v>27.7</v>
      </c>
      <c r="E54" s="262" t="n">
        <v>166.2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2309</v>
      </c>
      <c r="C55" s="263" t="n">
        <v>9</v>
      </c>
      <c r="D55" s="260" t="n">
        <v>18.2</v>
      </c>
      <c r="E55" s="260" t="n">
        <v>109.2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2309</v>
      </c>
      <c r="C56" s="264" t="n">
        <v>12</v>
      </c>
      <c r="D56" s="262" t="n">
        <v>23.8</v>
      </c>
      <c r="E56" s="262" t="n">
        <v>142.8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2309</v>
      </c>
      <c r="C57" s="263" t="n">
        <v>15</v>
      </c>
      <c r="D57" s="260" t="n">
        <v>29.4</v>
      </c>
      <c r="E57" s="260" t="n">
        <v>176.4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2315</v>
      </c>
      <c r="C58" s="264" t="n">
        <v>10</v>
      </c>
      <c r="D58" s="262" t="n">
        <v>20.9</v>
      </c>
      <c r="E58" s="262" t="n">
        <v>125.4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2315</v>
      </c>
      <c r="C59" s="263" t="n">
        <v>12</v>
      </c>
      <c r="D59" s="260" t="n">
        <v>24.8</v>
      </c>
      <c r="E59" s="260" t="n">
        <v>148.8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2315</v>
      </c>
      <c r="C60" s="264" t="n">
        <v>13</v>
      </c>
      <c r="D60" s="262" t="n">
        <v>28.3</v>
      </c>
      <c r="E60" s="262" t="n">
        <v>169.8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2321</v>
      </c>
      <c r="C61" s="263" t="n">
        <v>10</v>
      </c>
      <c r="D61" s="260" t="n">
        <v>23</v>
      </c>
      <c r="E61" s="260" t="n">
        <v>138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2321</v>
      </c>
      <c r="C62" s="264" t="n">
        <v>11</v>
      </c>
      <c r="D62" s="262" t="n">
        <v>25.1</v>
      </c>
      <c r="E62" s="262" t="n">
        <v>150.6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2321</v>
      </c>
      <c r="C63" s="263" t="n">
        <v>12</v>
      </c>
      <c r="D63" s="260" t="n">
        <v>27.3</v>
      </c>
      <c r="E63" s="260" t="n">
        <v>163.8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2321</v>
      </c>
      <c r="C64" s="264" t="n">
        <v>13</v>
      </c>
      <c r="D64" s="262" t="n">
        <v>29.3</v>
      </c>
      <c r="E64" s="262" t="n">
        <v>175.8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2321</v>
      </c>
      <c r="C65" s="263" t="n">
        <v>15</v>
      </c>
      <c r="D65" s="260" t="n">
        <v>33.6</v>
      </c>
      <c r="E65" s="260" t="n">
        <v>201.6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2329</v>
      </c>
      <c r="C66" s="264" t="n">
        <v>10</v>
      </c>
      <c r="D66" s="262" t="n">
        <v>23</v>
      </c>
      <c r="E66" s="262" t="n">
        <v>138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2329</v>
      </c>
      <c r="C67" s="263" t="n">
        <v>12</v>
      </c>
      <c r="D67" s="260" t="n">
        <v>27.3</v>
      </c>
      <c r="E67" s="260" t="n">
        <v>163.8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2329</v>
      </c>
      <c r="C68" s="264" t="n">
        <v>15</v>
      </c>
      <c r="D68" s="262" t="n">
        <v>33.6</v>
      </c>
      <c r="E68" s="262" t="n">
        <v>201.6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2329</v>
      </c>
      <c r="C69" s="263" t="n">
        <v>18</v>
      </c>
      <c r="D69" s="260" t="n">
        <v>39.6</v>
      </c>
      <c r="E69" s="260" t="n">
        <v>237.6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1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7.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0" hidden="false" customHeight="true" outlineLevel="0" collapsed="false">
      <c r="A72" s="2"/>
      <c r="B72" s="255" t="s">
        <v>2336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"/>
      <c r="P72" s="2"/>
    </row>
    <row r="73" customFormat="false" ht="105" hidden="false" customHeight="true" outlineLevel="0" collapsed="false">
      <c r="A73" s="2"/>
      <c r="B73" s="255" t="s">
        <v>1279</v>
      </c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"/>
      <c r="P73" s="2"/>
    </row>
  </sheetData>
  <autoFilter ref="B5:F73"/>
  <mergeCells count="5">
    <mergeCell ref="B2:P2"/>
    <mergeCell ref="B3:P3"/>
    <mergeCell ref="B5:E5"/>
    <mergeCell ref="B72:N72"/>
    <mergeCell ref="B73:N73"/>
  </mergeCells>
  <conditionalFormatting sqref="E6:E73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{EF4610A9-87DA-4111-9091-40E7E070C330}</x14:id>
        </ext>
      </extLst>
    </cfRule>
  </conditionalFormatting>
  <conditionalFormatting sqref="F6:F73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{88C5F0BB-8DDA-40DB-A750-CCC6AC55775F}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4610A9-87DA-4111-9091-40E7E070C330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E6:E73</xm:sqref>
        </x14:conditionalFormatting>
        <x14:conditionalFormatting xmlns:xm="http://schemas.microsoft.com/office/excel/2006/main">
          <x14:cfRule type="dataBar" id="{88C5F0BB-8DDA-40DB-A750-CCC6AC55775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F6:F73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C4A"/>
    <pageSetUpPr fitToPage="false"/>
  </sheetPr>
  <dimension ref="A1:P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5895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75" hidden="false" customHeight="true" outlineLevel="0" collapsed="false">
      <c r="A3" s="2"/>
      <c r="B3" s="250" t="s">
        <v>2338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2339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2340</v>
      </c>
      <c r="C6" s="258" t="s">
        <v>2195</v>
      </c>
      <c r="D6" s="258" t="s">
        <v>2196</v>
      </c>
      <c r="E6" s="258" t="s">
        <v>2197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2342</v>
      </c>
      <c r="C7" s="260" t="n">
        <v>1.6</v>
      </c>
      <c r="D7" s="260" t="n">
        <v>1.62</v>
      </c>
      <c r="E7" s="260" t="n">
        <v>9.72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2342</v>
      </c>
      <c r="C8" s="262" t="n">
        <v>2.3</v>
      </c>
      <c r="D8" s="262" t="n">
        <v>2.25</v>
      </c>
      <c r="E8" s="262" t="n">
        <v>13.5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2348</v>
      </c>
      <c r="C9" s="260" t="n">
        <v>1.6</v>
      </c>
      <c r="D9" s="260" t="n">
        <v>2.32</v>
      </c>
      <c r="E9" s="260" t="n">
        <v>13.92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2348</v>
      </c>
      <c r="C10" s="262" t="n">
        <v>2.3</v>
      </c>
      <c r="D10" s="262" t="n">
        <v>3.24</v>
      </c>
      <c r="E10" s="262" t="n">
        <v>19.44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2348</v>
      </c>
      <c r="C11" s="260" t="n">
        <v>3</v>
      </c>
      <c r="D11" s="260" t="n">
        <v>4.13</v>
      </c>
      <c r="E11" s="260" t="n">
        <v>24.78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2348</v>
      </c>
      <c r="C12" s="262" t="n">
        <v>3.2</v>
      </c>
      <c r="D12" s="262" t="n">
        <v>4.37</v>
      </c>
      <c r="E12" s="262" t="n">
        <v>26.22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2362</v>
      </c>
      <c r="C13" s="260" t="n">
        <v>1.6</v>
      </c>
      <c r="D13" s="260" t="n">
        <v>2.88</v>
      </c>
      <c r="E13" s="260" t="n">
        <v>17.28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2362</v>
      </c>
      <c r="C14" s="262" t="n">
        <v>2.3</v>
      </c>
      <c r="D14" s="262" t="n">
        <v>4.06</v>
      </c>
      <c r="E14" s="262" t="n">
        <v>24.36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2362</v>
      </c>
      <c r="C15" s="260" t="n">
        <v>3</v>
      </c>
      <c r="D15" s="260" t="n">
        <v>5.18</v>
      </c>
      <c r="E15" s="260" t="n">
        <v>31.08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2362</v>
      </c>
      <c r="C16" s="262" t="n">
        <v>3.2</v>
      </c>
      <c r="D16" s="262" t="n">
        <v>5.5</v>
      </c>
      <c r="E16" s="262" t="n">
        <v>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2362</v>
      </c>
      <c r="C17" s="260" t="n">
        <v>4</v>
      </c>
      <c r="D17" s="260" t="n">
        <v>6.71</v>
      </c>
      <c r="E17" s="260" t="n">
        <v>40.26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2362</v>
      </c>
      <c r="C18" s="262" t="n">
        <v>4.5</v>
      </c>
      <c r="D18" s="262" t="n">
        <v>7.43</v>
      </c>
      <c r="E18" s="262" t="n">
        <v>44.58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2381</v>
      </c>
      <c r="C19" s="260" t="n">
        <v>2.3</v>
      </c>
      <c r="D19" s="260" t="n">
        <v>4.51</v>
      </c>
      <c r="E19" s="260" t="n">
        <v>27.06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2381</v>
      </c>
      <c r="C20" s="262" t="n">
        <v>3</v>
      </c>
      <c r="D20" s="262" t="n">
        <v>5.77</v>
      </c>
      <c r="E20" s="262" t="n">
        <v>34.62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2381</v>
      </c>
      <c r="C21" s="260" t="n">
        <v>3.2</v>
      </c>
      <c r="D21" s="260" t="n">
        <v>6.13</v>
      </c>
      <c r="E21" s="260" t="n">
        <v>36.78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2381</v>
      </c>
      <c r="C22" s="262" t="n">
        <v>4</v>
      </c>
      <c r="D22" s="262" t="n">
        <v>7.5</v>
      </c>
      <c r="E22" s="262" t="n">
        <v>45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2381</v>
      </c>
      <c r="C23" s="260" t="n">
        <v>4.5</v>
      </c>
      <c r="D23" s="260" t="n">
        <v>8.32</v>
      </c>
      <c r="E23" s="260" t="n">
        <v>49.92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2396</v>
      </c>
      <c r="C24" s="262" t="n">
        <v>2.3</v>
      </c>
      <c r="D24" s="262" t="n">
        <v>4.96</v>
      </c>
      <c r="E24" s="262" t="n">
        <v>29.76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2396</v>
      </c>
      <c r="C25" s="260" t="n">
        <v>3.2</v>
      </c>
      <c r="D25" s="260" t="n">
        <v>6.76</v>
      </c>
      <c r="E25" s="260" t="n">
        <v>40.56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2396</v>
      </c>
      <c r="C26" s="262" t="n">
        <v>4</v>
      </c>
      <c r="D26" s="262" t="n">
        <v>9.2</v>
      </c>
      <c r="E26" s="262" t="n">
        <v>55.2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2404</v>
      </c>
      <c r="C27" s="260" t="n">
        <v>2.3</v>
      </c>
      <c r="D27" s="260" t="n">
        <v>5.5</v>
      </c>
      <c r="E27" s="260" t="n">
        <v>33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2404</v>
      </c>
      <c r="C28" s="262" t="n">
        <v>3</v>
      </c>
      <c r="D28" s="262" t="n">
        <v>7.07</v>
      </c>
      <c r="E28" s="262" t="n">
        <v>42.42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2404</v>
      </c>
      <c r="C29" s="260" t="n">
        <v>3.2</v>
      </c>
      <c r="D29" s="260" t="n">
        <v>7.51</v>
      </c>
      <c r="E29" s="260" t="n">
        <v>45.06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2404</v>
      </c>
      <c r="C30" s="262" t="n">
        <v>4</v>
      </c>
      <c r="D30" s="262" t="n">
        <v>9.22</v>
      </c>
      <c r="E30" s="262" t="n">
        <v>55.32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2404</v>
      </c>
      <c r="C31" s="260" t="n">
        <v>4.5</v>
      </c>
      <c r="D31" s="260" t="n">
        <v>10.25</v>
      </c>
      <c r="E31" s="260" t="n">
        <v>61.5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2418</v>
      </c>
      <c r="C32" s="262" t="n">
        <v>2.3</v>
      </c>
      <c r="D32" s="262" t="n">
        <v>6.31</v>
      </c>
      <c r="E32" s="262" t="n">
        <v>37.86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2418</v>
      </c>
      <c r="C33" s="260" t="n">
        <v>3</v>
      </c>
      <c r="D33" s="260" t="n">
        <v>8.13</v>
      </c>
      <c r="E33" s="260" t="n">
        <v>48.78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2418</v>
      </c>
      <c r="C34" s="262" t="n">
        <v>3.2</v>
      </c>
      <c r="D34" s="262" t="n">
        <v>8.63</v>
      </c>
      <c r="E34" s="262" t="n">
        <v>51.78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2418</v>
      </c>
      <c r="C35" s="260" t="n">
        <v>4</v>
      </c>
      <c r="D35" s="260" t="n">
        <v>10.63</v>
      </c>
      <c r="E35" s="260" t="n">
        <v>63.78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2418</v>
      </c>
      <c r="C36" s="262" t="n">
        <v>4.5</v>
      </c>
      <c r="D36" s="262" t="n">
        <v>11.84</v>
      </c>
      <c r="E36" s="262" t="n">
        <v>71.04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2434</v>
      </c>
      <c r="C37" s="260" t="n">
        <v>2.3</v>
      </c>
      <c r="D37" s="260" t="n">
        <v>6.76</v>
      </c>
      <c r="E37" s="260" t="n">
        <v>40.56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2434</v>
      </c>
      <c r="C38" s="262" t="n">
        <v>3</v>
      </c>
      <c r="D38" s="262" t="n">
        <v>8.71</v>
      </c>
      <c r="E38" s="262" t="n">
        <v>52.26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2434</v>
      </c>
      <c r="C39" s="260" t="n">
        <v>3.2</v>
      </c>
      <c r="D39" s="260" t="n">
        <v>9.27</v>
      </c>
      <c r="E39" s="260" t="n">
        <v>55.62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2434</v>
      </c>
      <c r="C40" s="262" t="n">
        <v>4</v>
      </c>
      <c r="D40" s="262" t="n">
        <v>11.4</v>
      </c>
      <c r="E40" s="262" t="n">
        <v>68.4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2434</v>
      </c>
      <c r="C41" s="260" t="n">
        <v>4.5</v>
      </c>
      <c r="D41" s="260" t="n">
        <v>12.73</v>
      </c>
      <c r="E41" s="260" t="n">
        <v>76.38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2448</v>
      </c>
      <c r="C42" s="262" t="n">
        <v>2.3</v>
      </c>
      <c r="D42" s="262" t="n">
        <v>6.94</v>
      </c>
      <c r="E42" s="262" t="n">
        <v>41.64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2448</v>
      </c>
      <c r="C43" s="260" t="n">
        <v>3</v>
      </c>
      <c r="D43" s="260" t="n">
        <v>8.71</v>
      </c>
      <c r="E43" s="260" t="n">
        <v>52.26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2448</v>
      </c>
      <c r="C44" s="262" t="n">
        <v>3.2</v>
      </c>
      <c r="D44" s="262" t="n">
        <v>9.52</v>
      </c>
      <c r="E44" s="262" t="n">
        <v>57.12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2448</v>
      </c>
      <c r="C45" s="260" t="n">
        <v>4</v>
      </c>
      <c r="D45" s="260" t="n">
        <v>11.7</v>
      </c>
      <c r="E45" s="260" t="n">
        <v>70.2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2448</v>
      </c>
      <c r="C46" s="262" t="n">
        <v>4.5</v>
      </c>
      <c r="D46" s="262" t="n">
        <v>13.1</v>
      </c>
      <c r="E46" s="262" t="n">
        <v>78.6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2462</v>
      </c>
      <c r="C47" s="260" t="n">
        <v>2.3</v>
      </c>
      <c r="D47" s="260" t="n">
        <v>7.21</v>
      </c>
      <c r="E47" s="260" t="n">
        <v>43.26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2462</v>
      </c>
      <c r="C48" s="262" t="n">
        <v>3</v>
      </c>
      <c r="D48" s="262" t="n">
        <v>9.3</v>
      </c>
      <c r="E48" s="262" t="n">
        <v>55.8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2462</v>
      </c>
      <c r="C49" s="260" t="n">
        <v>3.2</v>
      </c>
      <c r="D49" s="260" t="n">
        <v>9.89</v>
      </c>
      <c r="E49" s="260" t="n">
        <v>59.34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2462</v>
      </c>
      <c r="C50" s="262" t="n">
        <v>4</v>
      </c>
      <c r="D50" s="262" t="n">
        <v>12.21</v>
      </c>
      <c r="E50" s="262" t="n">
        <v>73.26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2462</v>
      </c>
      <c r="C51" s="260" t="n">
        <v>4.5</v>
      </c>
      <c r="D51" s="260" t="n">
        <v>13.61</v>
      </c>
      <c r="E51" s="260" t="n">
        <v>81.66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2477</v>
      </c>
      <c r="C52" s="262" t="n">
        <v>2.3</v>
      </c>
      <c r="D52" s="262" t="n">
        <v>7.4</v>
      </c>
      <c r="E52" s="262" t="n">
        <v>44.4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2477</v>
      </c>
      <c r="C53" s="260" t="n">
        <v>3</v>
      </c>
      <c r="D53" s="260" t="n">
        <v>9.54</v>
      </c>
      <c r="E53" s="260" t="n">
        <v>57.24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2477</v>
      </c>
      <c r="C54" s="262" t="n">
        <v>4</v>
      </c>
      <c r="D54" s="262" t="n">
        <v>12.4</v>
      </c>
      <c r="E54" s="262" t="n">
        <v>74.4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2477</v>
      </c>
      <c r="C55" s="260" t="n">
        <v>4.5</v>
      </c>
      <c r="D55" s="260" t="n">
        <v>13.96</v>
      </c>
      <c r="E55" s="260" t="n">
        <v>83.76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2490</v>
      </c>
      <c r="C56" s="262" t="n">
        <v>2.3</v>
      </c>
      <c r="D56" s="262" t="n">
        <v>7.67</v>
      </c>
      <c r="E56" s="262" t="n">
        <v>46.02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2490</v>
      </c>
      <c r="C57" s="260" t="n">
        <v>3</v>
      </c>
      <c r="D57" s="260" t="n">
        <v>9.89</v>
      </c>
      <c r="E57" s="260" t="n">
        <v>59.34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2490</v>
      </c>
      <c r="C58" s="262" t="n">
        <v>3.2</v>
      </c>
      <c r="D58" s="262" t="n">
        <v>10.52</v>
      </c>
      <c r="E58" s="262" t="n">
        <v>63.12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2490</v>
      </c>
      <c r="C59" s="260" t="n">
        <v>4</v>
      </c>
      <c r="D59" s="260" t="n">
        <v>12.99</v>
      </c>
      <c r="E59" s="260" t="n">
        <v>77.94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2490</v>
      </c>
      <c r="C60" s="262" t="n">
        <v>4.5</v>
      </c>
      <c r="D60" s="262" t="n">
        <v>14.5</v>
      </c>
      <c r="E60" s="262" t="n">
        <v>87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2504</v>
      </c>
      <c r="C61" s="260" t="n">
        <v>2.3</v>
      </c>
      <c r="D61" s="260" t="n">
        <v>7.85</v>
      </c>
      <c r="E61" s="260" t="n">
        <v>47.1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2504</v>
      </c>
      <c r="C62" s="262" t="n">
        <v>3</v>
      </c>
      <c r="D62" s="262" t="n">
        <v>10.1</v>
      </c>
      <c r="E62" s="262" t="n">
        <v>60.78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2504</v>
      </c>
      <c r="C63" s="260" t="n">
        <v>3.2</v>
      </c>
      <c r="D63" s="260" t="n">
        <v>10.8</v>
      </c>
      <c r="E63" s="260" t="n">
        <v>64.8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2504</v>
      </c>
      <c r="C64" s="262" t="n">
        <v>4</v>
      </c>
      <c r="D64" s="262" t="n">
        <v>13.3</v>
      </c>
      <c r="E64" s="262" t="n">
        <v>79.8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2504</v>
      </c>
      <c r="C65" s="260" t="n">
        <v>4.5</v>
      </c>
      <c r="D65" s="260" t="n">
        <v>14.9</v>
      </c>
      <c r="E65" s="260" t="n">
        <v>89.4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7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105" hidden="false" customHeight="true" outlineLevel="0" collapsed="false">
      <c r="A68" s="2"/>
      <c r="B68" s="255" t="s">
        <v>2513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"/>
      <c r="P68" s="2"/>
    </row>
    <row r="69" customFormat="false" ht="90" hidden="false" customHeight="true" outlineLevel="0" collapsed="false">
      <c r="A69" s="2"/>
      <c r="B69" s="255" t="s">
        <v>1279</v>
      </c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"/>
      <c r="P69" s="2"/>
    </row>
  </sheetData>
  <autoFilter ref="B5:F69"/>
  <mergeCells count="5">
    <mergeCell ref="B2:P2"/>
    <mergeCell ref="B3:P3"/>
    <mergeCell ref="B5:E5"/>
    <mergeCell ref="B68:N68"/>
    <mergeCell ref="B69:N69"/>
  </mergeCells>
  <conditionalFormatting sqref="E6:E69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{36B7CBD5-3083-4475-974A-CB957CDFE25E}</x14:id>
        </ext>
      </extLst>
    </cfRule>
  </conditionalFormatting>
  <conditionalFormatting sqref="F6:F69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{C14928D3-AB65-4938-B575-48245B1CE08F}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B7CBD5-3083-4475-974A-CB957CDFE25E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E6:E69</xm:sqref>
        </x14:conditionalFormatting>
        <x14:conditionalFormatting xmlns:xm="http://schemas.microsoft.com/office/excel/2006/main">
          <x14:cfRule type="dataBar" id="{C14928D3-AB65-4938-B575-48245B1CE08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F6:F69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C4A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75" hidden="false" customHeight="true" outlineLevel="0" collapsed="false">
      <c r="A3" s="2"/>
      <c r="B3" s="250" t="s">
        <v>2515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2516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2517</v>
      </c>
      <c r="C6" s="258" t="s">
        <v>2195</v>
      </c>
      <c r="D6" s="258" t="s">
        <v>2196</v>
      </c>
      <c r="E6" s="258" t="s">
        <v>2197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2519</v>
      </c>
      <c r="C7" s="260" t="n">
        <v>1.6</v>
      </c>
      <c r="D7" s="260" t="n">
        <v>0.88</v>
      </c>
      <c r="E7" s="260" t="n">
        <v>5.28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2519</v>
      </c>
      <c r="C8" s="262" t="n">
        <v>2.3</v>
      </c>
      <c r="D8" s="262" t="n">
        <v>1.22</v>
      </c>
      <c r="E8" s="262" t="n">
        <v>7.32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2519</v>
      </c>
      <c r="C9" s="260" t="n">
        <v>3</v>
      </c>
      <c r="D9" s="260" t="n">
        <v>1.53</v>
      </c>
      <c r="E9" s="260" t="n">
        <v>9.18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2519</v>
      </c>
      <c r="C10" s="262" t="n">
        <v>3.2</v>
      </c>
      <c r="D10" s="262" t="n">
        <v>1.62</v>
      </c>
      <c r="E10" s="262" t="n">
        <v>9.72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2525</v>
      </c>
      <c r="C11" s="260" t="n">
        <v>1.6</v>
      </c>
      <c r="D11" s="260" t="n">
        <v>1.31</v>
      </c>
      <c r="E11" s="260" t="n">
        <v>7.86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2525</v>
      </c>
      <c r="C12" s="262" t="n">
        <v>2.3</v>
      </c>
      <c r="D12" s="262" t="n">
        <v>1.85</v>
      </c>
      <c r="E12" s="262" t="n">
        <v>11.1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2525</v>
      </c>
      <c r="C13" s="260" t="n">
        <v>3</v>
      </c>
      <c r="D13" s="260" t="n">
        <v>2.36</v>
      </c>
      <c r="E13" s="260" t="n">
        <v>14.16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2525</v>
      </c>
      <c r="C14" s="262" t="n">
        <v>3.2</v>
      </c>
      <c r="D14" s="262" t="n">
        <v>2.5</v>
      </c>
      <c r="E14" s="262" t="n">
        <v>15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2534</v>
      </c>
      <c r="C15" s="260" t="n">
        <v>1.6</v>
      </c>
      <c r="D15" s="260" t="n">
        <v>1.44</v>
      </c>
      <c r="E15" s="260" t="n">
        <v>8.64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2534</v>
      </c>
      <c r="C16" s="262" t="n">
        <v>2.3</v>
      </c>
      <c r="D16" s="262" t="n">
        <v>2.03</v>
      </c>
      <c r="E16" s="262" t="n">
        <v>12.18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2534</v>
      </c>
      <c r="C17" s="260" t="n">
        <v>3.2</v>
      </c>
      <c r="D17" s="260" t="n">
        <v>3</v>
      </c>
      <c r="E17" s="259" t="s">
        <v>524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2542</v>
      </c>
      <c r="C18" s="262" t="n">
        <v>1.6</v>
      </c>
      <c r="D18" s="262" t="n">
        <v>2</v>
      </c>
      <c r="E18" s="262" t="n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2542</v>
      </c>
      <c r="C19" s="260" t="n">
        <v>2.3</v>
      </c>
      <c r="D19" s="260" t="n">
        <v>2.84</v>
      </c>
      <c r="E19" s="260" t="n">
        <v>17.04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2542</v>
      </c>
      <c r="C20" s="262" t="n">
        <v>3</v>
      </c>
      <c r="D20" s="262" t="n">
        <v>3.42</v>
      </c>
      <c r="E20" s="262" t="n">
        <v>20.52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2542</v>
      </c>
      <c r="C21" s="260" t="n">
        <v>3.2</v>
      </c>
      <c r="D21" s="260" t="n">
        <v>3.63</v>
      </c>
      <c r="E21" s="260" t="n">
        <v>21.78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2553</v>
      </c>
      <c r="C22" s="262" t="n">
        <v>1.6</v>
      </c>
      <c r="D22" s="262" t="n">
        <v>2.77</v>
      </c>
      <c r="E22" s="262" t="n">
        <v>16.62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2553</v>
      </c>
      <c r="C23" s="260" t="n">
        <v>2.3</v>
      </c>
      <c r="D23" s="260" t="n">
        <v>3.47</v>
      </c>
      <c r="E23" s="260" t="n">
        <v>20.82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2553</v>
      </c>
      <c r="C24" s="262" t="n">
        <v>3</v>
      </c>
      <c r="D24" s="262" t="n">
        <v>4.47</v>
      </c>
      <c r="E24" s="262" t="n">
        <v>26.82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2553</v>
      </c>
      <c r="C25" s="260" t="n">
        <v>3.2</v>
      </c>
      <c r="D25" s="260" t="n">
        <v>4.76</v>
      </c>
      <c r="E25" s="260" t="n">
        <v>28.56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2553</v>
      </c>
      <c r="C26" s="262" t="n">
        <v>4</v>
      </c>
      <c r="D26" s="262" t="n">
        <v>5.87</v>
      </c>
      <c r="E26" s="262" t="n">
        <v>35.22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2553</v>
      </c>
      <c r="C27" s="260" t="n">
        <v>4.5</v>
      </c>
      <c r="D27" s="260" t="n">
        <v>6.54</v>
      </c>
      <c r="E27" s="260" t="n">
        <v>39.24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2572</v>
      </c>
      <c r="C28" s="262" t="n">
        <v>2.3</v>
      </c>
      <c r="D28" s="262" t="n">
        <v>3.92</v>
      </c>
      <c r="E28" s="262" t="n">
        <v>23.52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2572</v>
      </c>
      <c r="C29" s="260" t="n">
        <v>3</v>
      </c>
      <c r="D29" s="260" t="n">
        <v>5.06</v>
      </c>
      <c r="E29" s="260" t="n">
        <v>30.36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2572</v>
      </c>
      <c r="C30" s="262" t="n">
        <v>3.2</v>
      </c>
      <c r="D30" s="262" t="n">
        <v>5.93</v>
      </c>
      <c r="E30" s="262" t="n">
        <v>35.58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2572</v>
      </c>
      <c r="C31" s="260" t="n">
        <v>4</v>
      </c>
      <c r="D31" s="260" t="n">
        <v>6.53</v>
      </c>
      <c r="E31" s="260" t="n">
        <v>39.18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2572</v>
      </c>
      <c r="C32" s="262" t="n">
        <v>4.5</v>
      </c>
      <c r="D32" s="262" t="n">
        <v>7.42</v>
      </c>
      <c r="E32" s="262" t="n">
        <v>44.52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2588</v>
      </c>
      <c r="C33" s="260" t="n">
        <v>2.3</v>
      </c>
      <c r="D33" s="260" t="n">
        <v>4.92</v>
      </c>
      <c r="E33" s="260" t="n">
        <v>29.52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2588</v>
      </c>
      <c r="C34" s="262" t="n">
        <v>3</v>
      </c>
      <c r="D34" s="262" t="n">
        <v>6.36</v>
      </c>
      <c r="E34" s="262" t="n">
        <v>38.16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2588</v>
      </c>
      <c r="C35" s="260" t="n">
        <v>3.2</v>
      </c>
      <c r="D35" s="260" t="n">
        <v>6.77</v>
      </c>
      <c r="E35" s="260" t="n">
        <v>40.62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2596</v>
      </c>
      <c r="C36" s="262" t="n">
        <v>2.3</v>
      </c>
      <c r="D36" s="262" t="n">
        <v>5.55</v>
      </c>
      <c r="E36" s="262" t="n">
        <v>33.3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2596</v>
      </c>
      <c r="C37" s="260" t="n">
        <v>3</v>
      </c>
      <c r="D37" s="260" t="n">
        <v>7.19</v>
      </c>
      <c r="E37" s="260" t="n">
        <v>43.14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2596</v>
      </c>
      <c r="C38" s="262" t="n">
        <v>3.2</v>
      </c>
      <c r="D38" s="262" t="n">
        <v>7.65</v>
      </c>
      <c r="E38" s="262" t="n">
        <v>45.9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2606</v>
      </c>
      <c r="C39" s="260" t="n">
        <v>2.3</v>
      </c>
      <c r="D39" s="260" t="n">
        <v>5.73</v>
      </c>
      <c r="E39" s="260" t="n">
        <v>34.38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2606</v>
      </c>
      <c r="C40" s="262" t="n">
        <v>3</v>
      </c>
      <c r="D40" s="262" t="n">
        <v>7.42</v>
      </c>
      <c r="E40" s="262" t="n">
        <v>44.5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2606</v>
      </c>
      <c r="C41" s="260" t="n">
        <v>3.2</v>
      </c>
      <c r="D41" s="260" t="n">
        <v>7.65</v>
      </c>
      <c r="E41" s="260" t="n">
        <v>45.9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2606</v>
      </c>
      <c r="C42" s="262" t="n">
        <v>4</v>
      </c>
      <c r="D42" s="262" t="n">
        <v>9.79</v>
      </c>
      <c r="E42" s="262" t="n">
        <v>58.74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2606</v>
      </c>
      <c r="C43" s="260" t="n">
        <v>4.5</v>
      </c>
      <c r="D43" s="260" t="n">
        <v>10.95</v>
      </c>
      <c r="E43" s="260" t="n">
        <v>65.7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2619</v>
      </c>
      <c r="C44" s="262" t="n">
        <v>2.3</v>
      </c>
      <c r="D44" s="262" t="n">
        <v>6</v>
      </c>
      <c r="E44" s="262" t="n">
        <v>36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2619</v>
      </c>
      <c r="C45" s="260" t="n">
        <v>3</v>
      </c>
      <c r="D45" s="260" t="n">
        <v>7.77</v>
      </c>
      <c r="E45" s="260" t="n">
        <v>46.62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2619</v>
      </c>
      <c r="C46" s="262" t="n">
        <v>4</v>
      </c>
      <c r="D46" s="262" t="n">
        <v>8.28</v>
      </c>
      <c r="E46" s="262" t="n">
        <v>49.68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2626</v>
      </c>
      <c r="C47" s="260" t="n">
        <v>2.3</v>
      </c>
      <c r="D47" s="260" t="n">
        <v>6.18</v>
      </c>
      <c r="E47" s="260" t="n">
        <v>37.08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2626</v>
      </c>
      <c r="C48" s="262" t="n">
        <v>3</v>
      </c>
      <c r="D48" s="262" t="n">
        <v>8.01</v>
      </c>
      <c r="E48" s="262" t="n">
        <v>48.06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2626</v>
      </c>
      <c r="C49" s="260" t="n">
        <v>4</v>
      </c>
      <c r="D49" s="260" t="n">
        <v>9.79</v>
      </c>
      <c r="E49" s="260" t="n">
        <v>58.74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2633</v>
      </c>
      <c r="C50" s="262" t="n">
        <v>2.3</v>
      </c>
      <c r="D50" s="262" t="n">
        <v>6.63</v>
      </c>
      <c r="E50" s="262" t="n">
        <v>39.78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2633</v>
      </c>
      <c r="C51" s="260" t="n">
        <v>3</v>
      </c>
      <c r="D51" s="260" t="n">
        <v>8.59</v>
      </c>
      <c r="E51" s="260" t="n">
        <v>51.54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2633</v>
      </c>
      <c r="C52" s="262" t="n">
        <v>4</v>
      </c>
      <c r="D52" s="262" t="n">
        <v>11.84</v>
      </c>
      <c r="E52" s="262" t="n">
        <v>71.04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2641</v>
      </c>
      <c r="C53" s="260" t="n">
        <v>2.3</v>
      </c>
      <c r="D53" s="260" t="n">
        <v>7.08</v>
      </c>
      <c r="E53" s="260" t="n">
        <v>42.48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2641</v>
      </c>
      <c r="C54" s="262" t="n">
        <v>3</v>
      </c>
      <c r="D54" s="262" t="n">
        <v>9.18</v>
      </c>
      <c r="E54" s="262" t="n">
        <v>55.08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2641</v>
      </c>
      <c r="C55" s="260" t="n">
        <v>3.2</v>
      </c>
      <c r="D55" s="260" t="n">
        <v>9.16</v>
      </c>
      <c r="E55" s="260" t="n">
        <v>54.96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2641</v>
      </c>
      <c r="C56" s="262" t="n">
        <v>4</v>
      </c>
      <c r="D56" s="262" t="n">
        <v>11.36</v>
      </c>
      <c r="E56" s="262" t="n">
        <v>68.16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2641</v>
      </c>
      <c r="C57" s="260" t="n">
        <v>4.5</v>
      </c>
      <c r="D57" s="260" t="n">
        <v>12.72</v>
      </c>
      <c r="E57" s="260" t="n">
        <v>76.32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2654</v>
      </c>
      <c r="C58" s="262" t="n">
        <v>2.3</v>
      </c>
      <c r="D58" s="262" t="n">
        <v>7.08</v>
      </c>
      <c r="E58" s="262" t="n">
        <v>42.48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2654</v>
      </c>
      <c r="C59" s="260" t="n">
        <v>3</v>
      </c>
      <c r="D59" s="260" t="n">
        <v>9.18</v>
      </c>
      <c r="E59" s="260" t="n">
        <v>55.08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2654</v>
      </c>
      <c r="C60" s="262" t="n">
        <v>3.2</v>
      </c>
      <c r="D60" s="262" t="n">
        <v>9.79</v>
      </c>
      <c r="E60" s="262" t="n">
        <v>58.74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2654</v>
      </c>
      <c r="C61" s="260" t="n">
        <v>4</v>
      </c>
      <c r="D61" s="260" t="n">
        <v>12.15</v>
      </c>
      <c r="E61" s="260" t="n">
        <v>72.9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2654</v>
      </c>
      <c r="C62" s="262" t="n">
        <v>4.5</v>
      </c>
      <c r="D62" s="262" t="n">
        <v>13.6</v>
      </c>
      <c r="E62" s="262" t="n">
        <v>81.6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2588</v>
      </c>
      <c r="C63" s="260" t="n">
        <v>4</v>
      </c>
      <c r="D63" s="260" t="n">
        <v>8.38</v>
      </c>
      <c r="E63" s="260" t="n">
        <v>50.28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2588</v>
      </c>
      <c r="C64" s="262" t="n">
        <v>4.5</v>
      </c>
      <c r="D64" s="262" t="n">
        <v>9.36</v>
      </c>
      <c r="E64" s="262" t="n">
        <v>56.16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7.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05" hidden="false" customHeight="true" outlineLevel="0" collapsed="false">
      <c r="A67" s="2"/>
      <c r="B67" s="255" t="s">
        <v>2513</v>
      </c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"/>
      <c r="P67" s="2"/>
    </row>
    <row r="68" customFormat="false" ht="90" hidden="false" customHeight="true" outlineLevel="0" collapsed="false">
      <c r="A68" s="2"/>
      <c r="B68" s="255" t="s">
        <v>1279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"/>
      <c r="P68" s="2"/>
    </row>
  </sheetData>
  <autoFilter ref="B5:F68"/>
  <mergeCells count="5">
    <mergeCell ref="B2:P2"/>
    <mergeCell ref="B3:P3"/>
    <mergeCell ref="B5:E5"/>
    <mergeCell ref="B67:N67"/>
    <mergeCell ref="B68:N68"/>
  </mergeCells>
  <conditionalFormatting sqref="E6:E68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{2A65A1A3-51B7-469B-BEA2-67F629B967F4}</x14:id>
        </ext>
      </extLst>
    </cfRule>
  </conditionalFormatting>
  <conditionalFormatting sqref="F6:F68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{914596E5-16C7-4E1E-B6C0-30CE1A3F4FB5}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65A1A3-51B7-469B-BEA2-67F629B967F4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E6:E68</xm:sqref>
        </x14:conditionalFormatting>
        <x14:conditionalFormatting xmlns:xm="http://schemas.microsoft.com/office/excel/2006/main">
          <x14:cfRule type="dataBar" id="{914596E5-16C7-4E1E-B6C0-30CE1A3F4FB5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F6:F68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11" min="2" style="1" width="10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5897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2671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05" hidden="false" customHeight="true" outlineLevel="0" collapsed="false">
      <c r="A5" s="2"/>
      <c r="B5" s="257" t="s">
        <v>2672</v>
      </c>
      <c r="C5" s="257"/>
      <c r="D5" s="257"/>
      <c r="E5" s="257"/>
      <c r="F5" s="257"/>
      <c r="G5" s="257"/>
      <c r="H5" s="257"/>
      <c r="I5" s="257"/>
      <c r="J5" s="257"/>
      <c r="K5" s="257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2673</v>
      </c>
      <c r="C6" s="258" t="s">
        <v>2674</v>
      </c>
      <c r="D6" s="258" t="s">
        <v>2675</v>
      </c>
      <c r="E6" s="258" t="s">
        <v>2676</v>
      </c>
      <c r="F6" s="258" t="s">
        <v>2677</v>
      </c>
      <c r="G6" s="258" t="s">
        <v>5898</v>
      </c>
      <c r="H6" s="258" t="s">
        <v>2196</v>
      </c>
      <c r="I6" s="258" t="s">
        <v>5899</v>
      </c>
      <c r="J6" s="258" t="s">
        <v>5900</v>
      </c>
      <c r="K6" s="258" t="s">
        <v>5901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3" t="n">
        <v>15</v>
      </c>
      <c r="C7" s="259" t="s">
        <v>2679</v>
      </c>
      <c r="D7" s="260" t="n">
        <v>21.7</v>
      </c>
      <c r="E7" s="260" t="n">
        <v>0.854</v>
      </c>
      <c r="F7" s="260" t="n">
        <v>2.8</v>
      </c>
      <c r="G7" s="260" t="n">
        <v>0.11</v>
      </c>
      <c r="H7" s="260" t="n">
        <v>1.31</v>
      </c>
      <c r="I7" s="260" t="n">
        <v>0.399</v>
      </c>
      <c r="J7" s="263" t="n">
        <v>25</v>
      </c>
      <c r="K7" s="263" t="n">
        <v>360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4" t="n">
        <v>20</v>
      </c>
      <c r="C8" s="261" t="s">
        <v>2684</v>
      </c>
      <c r="D8" s="262" t="n">
        <v>27.2</v>
      </c>
      <c r="E8" s="262" t="n">
        <v>1.071</v>
      </c>
      <c r="F8" s="262" t="n">
        <v>2.8</v>
      </c>
      <c r="G8" s="262" t="n">
        <v>0.11</v>
      </c>
      <c r="H8" s="262" t="n">
        <v>1.68</v>
      </c>
      <c r="I8" s="262" t="n">
        <v>0.512</v>
      </c>
      <c r="J8" s="264" t="n">
        <v>25</v>
      </c>
      <c r="K8" s="264" t="n">
        <v>360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3" t="n">
        <v>25</v>
      </c>
      <c r="C9" s="259" t="s">
        <v>1045</v>
      </c>
      <c r="D9" s="260" t="n">
        <v>34</v>
      </c>
      <c r="E9" s="260" t="n">
        <v>1.339</v>
      </c>
      <c r="F9" s="260" t="n">
        <v>3.2</v>
      </c>
      <c r="G9" s="260" t="n">
        <v>0.126</v>
      </c>
      <c r="H9" s="260" t="n">
        <v>2.43</v>
      </c>
      <c r="I9" s="260" t="n">
        <v>0.741</v>
      </c>
      <c r="J9" s="263" t="n">
        <v>25</v>
      </c>
      <c r="K9" s="263" t="n">
        <v>360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4" t="n">
        <v>32</v>
      </c>
      <c r="C10" s="261" t="s">
        <v>2691</v>
      </c>
      <c r="D10" s="262" t="n">
        <v>42.7</v>
      </c>
      <c r="E10" s="262" t="n">
        <v>1.681</v>
      </c>
      <c r="F10" s="262" t="n">
        <v>3.5</v>
      </c>
      <c r="G10" s="262" t="n">
        <v>0.138</v>
      </c>
      <c r="H10" s="262" t="n">
        <v>3.38</v>
      </c>
      <c r="I10" s="262" t="n">
        <v>1.03</v>
      </c>
      <c r="J10" s="264" t="n">
        <v>25</v>
      </c>
      <c r="K10" s="264" t="n">
        <v>360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3" t="n">
        <v>40</v>
      </c>
      <c r="C11" s="259" t="s">
        <v>2695</v>
      </c>
      <c r="D11" s="260" t="n">
        <v>48.6</v>
      </c>
      <c r="E11" s="260" t="n">
        <v>1.913</v>
      </c>
      <c r="F11" s="260" t="n">
        <v>3.5</v>
      </c>
      <c r="G11" s="260" t="n">
        <v>0.138</v>
      </c>
      <c r="H11" s="260" t="n">
        <v>3.89</v>
      </c>
      <c r="I11" s="260" t="n">
        <v>1.186</v>
      </c>
      <c r="J11" s="263" t="n">
        <v>25</v>
      </c>
      <c r="K11" s="263" t="n">
        <v>360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4" t="n">
        <v>50</v>
      </c>
      <c r="C12" s="261" t="s">
        <v>2543</v>
      </c>
      <c r="D12" s="262" t="n">
        <v>60.5</v>
      </c>
      <c r="E12" s="262" t="n">
        <v>2.382</v>
      </c>
      <c r="F12" s="262" t="n">
        <v>3.8</v>
      </c>
      <c r="G12" s="262" t="n">
        <v>0.15</v>
      </c>
      <c r="H12" s="262" t="n">
        <v>5.31</v>
      </c>
      <c r="I12" s="262" t="n">
        <v>1.618</v>
      </c>
      <c r="J12" s="264" t="n">
        <v>25</v>
      </c>
      <c r="K12" s="264" t="n">
        <v>360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3" t="n">
        <v>65</v>
      </c>
      <c r="C13" s="259" t="s">
        <v>2705</v>
      </c>
      <c r="D13" s="260" t="n">
        <v>76.3</v>
      </c>
      <c r="E13" s="260" t="n">
        <v>3.004</v>
      </c>
      <c r="F13" s="260" t="n">
        <v>4.2</v>
      </c>
      <c r="G13" s="260" t="n">
        <v>0.165</v>
      </c>
      <c r="H13" s="260" t="n">
        <v>7.47</v>
      </c>
      <c r="I13" s="260" t="n">
        <v>2.277</v>
      </c>
      <c r="J13" s="263" t="n">
        <v>25</v>
      </c>
      <c r="K13" s="263" t="n">
        <v>360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4" t="n">
        <v>80</v>
      </c>
      <c r="C14" s="261" t="s">
        <v>987</v>
      </c>
      <c r="D14" s="262" t="n">
        <v>89.1</v>
      </c>
      <c r="E14" s="262" t="n">
        <v>3.508</v>
      </c>
      <c r="F14" s="262" t="n">
        <v>4.2</v>
      </c>
      <c r="G14" s="262" t="n">
        <v>0.165</v>
      </c>
      <c r="H14" s="262" t="n">
        <v>8.79</v>
      </c>
      <c r="I14" s="262" t="n">
        <v>2.679</v>
      </c>
      <c r="J14" s="264" t="n">
        <v>25</v>
      </c>
      <c r="K14" s="264" t="n">
        <v>360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3" t="n">
        <v>90</v>
      </c>
      <c r="C15" s="259" t="s">
        <v>2714</v>
      </c>
      <c r="D15" s="260" t="n">
        <v>101.6</v>
      </c>
      <c r="E15" s="260" t="n">
        <v>4</v>
      </c>
      <c r="F15" s="260" t="n">
        <v>4.2</v>
      </c>
      <c r="G15" s="260" t="n">
        <v>0.165</v>
      </c>
      <c r="H15" s="260" t="n">
        <v>10.1</v>
      </c>
      <c r="I15" s="260" t="n">
        <v>3.078</v>
      </c>
      <c r="J15" s="263" t="n">
        <v>25</v>
      </c>
      <c r="K15" s="263" t="n">
        <v>360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4" t="n">
        <v>100</v>
      </c>
      <c r="C16" s="261" t="s">
        <v>1830</v>
      </c>
      <c r="D16" s="262" t="n">
        <v>114.3</v>
      </c>
      <c r="E16" s="262" t="n">
        <v>4.5</v>
      </c>
      <c r="F16" s="262" t="n">
        <v>4.5</v>
      </c>
      <c r="G16" s="262" t="n">
        <v>0.177</v>
      </c>
      <c r="H16" s="262" t="n">
        <v>12.2</v>
      </c>
      <c r="I16" s="262" t="n">
        <v>3.719</v>
      </c>
      <c r="J16" s="264" t="n">
        <v>25</v>
      </c>
      <c r="K16" s="264" t="n">
        <v>360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3" t="n">
        <v>125</v>
      </c>
      <c r="C17" s="259" t="s">
        <v>1834</v>
      </c>
      <c r="D17" s="260" t="n">
        <v>139.8</v>
      </c>
      <c r="E17" s="260" t="n">
        <v>5.504</v>
      </c>
      <c r="F17" s="260" t="n">
        <v>4.5</v>
      </c>
      <c r="G17" s="260" t="n">
        <v>0.177</v>
      </c>
      <c r="H17" s="260" t="n">
        <v>15</v>
      </c>
      <c r="I17" s="260" t="n">
        <v>4.572</v>
      </c>
      <c r="J17" s="263" t="n">
        <v>25</v>
      </c>
      <c r="K17" s="263" t="n">
        <v>360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4" t="n">
        <v>150</v>
      </c>
      <c r="C18" s="261" t="s">
        <v>1838</v>
      </c>
      <c r="D18" s="262" t="n">
        <v>165.2</v>
      </c>
      <c r="E18" s="262" t="n">
        <v>6.504</v>
      </c>
      <c r="F18" s="262" t="n">
        <v>5</v>
      </c>
      <c r="G18" s="262" t="n">
        <v>0.197</v>
      </c>
      <c r="H18" s="262" t="n">
        <v>19.8</v>
      </c>
      <c r="I18" s="262" t="n">
        <v>6.035</v>
      </c>
      <c r="J18" s="264" t="n">
        <v>25</v>
      </c>
      <c r="K18" s="264" t="n">
        <v>360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3" t="n">
        <v>175</v>
      </c>
      <c r="C19" s="259" t="s">
        <v>1943</v>
      </c>
      <c r="D19" s="260" t="n">
        <v>190.7</v>
      </c>
      <c r="E19" s="260" t="n">
        <v>7.508</v>
      </c>
      <c r="F19" s="260" t="n">
        <v>5.3</v>
      </c>
      <c r="G19" s="260" t="n">
        <v>0.209</v>
      </c>
      <c r="H19" s="260" t="n">
        <v>24.2</v>
      </c>
      <c r="I19" s="260" t="n">
        <v>7.38</v>
      </c>
      <c r="J19" s="263" t="n">
        <v>25</v>
      </c>
      <c r="K19" s="263" t="n">
        <v>360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4" t="n">
        <v>200</v>
      </c>
      <c r="C20" s="261" t="s">
        <v>1904</v>
      </c>
      <c r="D20" s="262" t="n">
        <v>216.3</v>
      </c>
      <c r="E20" s="262" t="n">
        <v>8.516</v>
      </c>
      <c r="F20" s="262" t="n">
        <v>5.8</v>
      </c>
      <c r="G20" s="262" t="n">
        <v>0.228</v>
      </c>
      <c r="H20" s="262" t="n">
        <v>30.1</v>
      </c>
      <c r="I20" s="262" t="n">
        <v>9.174</v>
      </c>
      <c r="J20" s="264" t="n">
        <v>25</v>
      </c>
      <c r="K20" s="264" t="n">
        <v>360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3" t="n">
        <v>225</v>
      </c>
      <c r="C21" s="259" t="s">
        <v>1929</v>
      </c>
      <c r="D21" s="260" t="n">
        <v>241.8</v>
      </c>
      <c r="E21" s="260" t="n">
        <v>9.52</v>
      </c>
      <c r="F21" s="260" t="n">
        <v>6.2</v>
      </c>
      <c r="G21" s="260" t="n">
        <v>0.244</v>
      </c>
      <c r="H21" s="260" t="n">
        <v>36</v>
      </c>
      <c r="I21" s="260" t="n">
        <v>11</v>
      </c>
      <c r="J21" s="263" t="n">
        <v>25</v>
      </c>
      <c r="K21" s="263" t="n">
        <v>360</v>
      </c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4" t="n">
        <v>250</v>
      </c>
      <c r="C22" s="261" t="s">
        <v>1975</v>
      </c>
      <c r="D22" s="262" t="n">
        <v>267.4</v>
      </c>
      <c r="E22" s="262" t="n">
        <v>10.528</v>
      </c>
      <c r="F22" s="262" t="n">
        <v>6.6</v>
      </c>
      <c r="G22" s="262" t="n">
        <v>0.26</v>
      </c>
      <c r="H22" s="262" t="n">
        <v>42.4</v>
      </c>
      <c r="I22" s="262" t="n">
        <v>12.924</v>
      </c>
      <c r="J22" s="264" t="n">
        <v>25</v>
      </c>
      <c r="K22" s="264" t="n">
        <v>360</v>
      </c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3" t="n">
        <v>300</v>
      </c>
      <c r="C23" s="259" t="s">
        <v>627</v>
      </c>
      <c r="D23" s="260" t="n">
        <v>318.5</v>
      </c>
      <c r="E23" s="260" t="n">
        <v>12.539</v>
      </c>
      <c r="F23" s="260" t="n">
        <v>6.9</v>
      </c>
      <c r="G23" s="260" t="n">
        <v>0.272</v>
      </c>
      <c r="H23" s="260" t="n">
        <v>53</v>
      </c>
      <c r="I23" s="260" t="n">
        <v>16.154</v>
      </c>
      <c r="J23" s="263" t="n">
        <v>25</v>
      </c>
      <c r="K23" s="263" t="n">
        <v>360</v>
      </c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4" t="n">
        <v>350</v>
      </c>
      <c r="C24" s="261" t="s">
        <v>2746</v>
      </c>
      <c r="D24" s="262" t="n">
        <v>355.6</v>
      </c>
      <c r="E24" s="262" t="n">
        <v>14</v>
      </c>
      <c r="F24" s="262" t="n">
        <v>7.9</v>
      </c>
      <c r="G24" s="262" t="n">
        <v>0.311</v>
      </c>
      <c r="H24" s="262" t="n">
        <v>67.7</v>
      </c>
      <c r="I24" s="262" t="n">
        <v>20.635</v>
      </c>
      <c r="J24" s="264" t="n">
        <v>25</v>
      </c>
      <c r="K24" s="264" t="n">
        <v>360</v>
      </c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3" t="n">
        <v>400</v>
      </c>
      <c r="C25" s="259" t="s">
        <v>2081</v>
      </c>
      <c r="D25" s="260" t="n">
        <v>406.4</v>
      </c>
      <c r="E25" s="260" t="n">
        <v>16</v>
      </c>
      <c r="F25" s="260" t="n">
        <v>7.9</v>
      </c>
      <c r="G25" s="260" t="n">
        <v>0.311</v>
      </c>
      <c r="H25" s="260" t="n">
        <v>77.6</v>
      </c>
      <c r="I25" s="260" t="n">
        <v>23.652</v>
      </c>
      <c r="J25" s="263" t="n">
        <v>25</v>
      </c>
      <c r="K25" s="263" t="n">
        <v>360</v>
      </c>
      <c r="L25" s="2"/>
      <c r="M25" s="2"/>
      <c r="N25" s="2"/>
      <c r="O25" s="2"/>
      <c r="P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7.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05" hidden="false" customHeight="true" outlineLevel="0" collapsed="false">
      <c r="A28" s="2"/>
      <c r="B28" s="255" t="s">
        <v>2752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"/>
      <c r="P28" s="2"/>
    </row>
    <row r="29" customFormat="false" ht="120" hidden="false" customHeight="true" outlineLevel="0" collapsed="false">
      <c r="A29" s="2"/>
      <c r="B29" s="255" t="s">
        <v>1279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"/>
      <c r="P29" s="2"/>
    </row>
  </sheetData>
  <autoFilter ref="B5:F29"/>
  <mergeCells count="5">
    <mergeCell ref="B2:P2"/>
    <mergeCell ref="B3:P3"/>
    <mergeCell ref="B5:K5"/>
    <mergeCell ref="B28:N28"/>
    <mergeCell ref="B29:N29"/>
  </mergeCells>
  <conditionalFormatting sqref="E6:E29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{514D16F7-15F1-4698-8F5F-77DA4EFF7A37}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4D16F7-15F1-4698-8F5F-77DA4EFF7A37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E6:E29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9"/>
    <col collapsed="false" customWidth="true" hidden="false" outlineLevel="0" max="8" min="4" style="1" width="10"/>
    <col collapsed="false" customWidth="true" hidden="false" outlineLevel="0" max="10" min="9" style="1" width="11"/>
    <col collapsed="false" customWidth="true" hidden="false" outlineLevel="0" max="12" min="11" style="1" width="9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05" hidden="false" customHeight="true" outlineLevel="0" collapsed="false">
      <c r="A2" s="2"/>
      <c r="B2" s="256" t="s">
        <v>5902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2754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2755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2756</v>
      </c>
      <c r="C6" s="258" t="s">
        <v>2757</v>
      </c>
      <c r="D6" s="258" t="s">
        <v>2758</v>
      </c>
      <c r="E6" s="258" t="s">
        <v>2759</v>
      </c>
      <c r="F6" s="258" t="s">
        <v>2760</v>
      </c>
      <c r="G6" s="258" t="s">
        <v>5903</v>
      </c>
      <c r="H6" s="258" t="s">
        <v>2677</v>
      </c>
      <c r="I6" s="258" t="s">
        <v>5904</v>
      </c>
      <c r="J6" s="258" t="s">
        <v>2196</v>
      </c>
      <c r="K6" s="258" t="s">
        <v>5899</v>
      </c>
      <c r="L6" s="258" t="s">
        <v>4660</v>
      </c>
      <c r="M6" s="2"/>
      <c r="N6" s="2"/>
      <c r="O6" s="2"/>
      <c r="P6" s="2"/>
    </row>
    <row r="7" customFormat="false" ht="30" hidden="false" customHeight="true" outlineLevel="0" collapsed="false">
      <c r="A7" s="2"/>
      <c r="B7" s="263" t="n">
        <v>15</v>
      </c>
      <c r="C7" s="259" t="s">
        <v>2679</v>
      </c>
      <c r="D7" s="260" t="n">
        <v>21.4</v>
      </c>
      <c r="E7" s="260" t="n">
        <v>0.84</v>
      </c>
      <c r="F7" s="260" t="n">
        <v>21</v>
      </c>
      <c r="G7" s="260" t="n">
        <v>0.83</v>
      </c>
      <c r="H7" s="260" t="n">
        <v>1.6</v>
      </c>
      <c r="I7" s="260" t="n">
        <v>0.063</v>
      </c>
      <c r="J7" s="260" t="n">
        <v>0.773</v>
      </c>
      <c r="K7" s="260" t="n">
        <v>0.236</v>
      </c>
      <c r="L7" s="260" t="n">
        <v>0.52</v>
      </c>
      <c r="M7" s="2"/>
      <c r="N7" s="2"/>
      <c r="O7" s="2"/>
      <c r="P7" s="2"/>
    </row>
    <row r="8" customFormat="false" ht="30" hidden="false" customHeight="true" outlineLevel="0" collapsed="false">
      <c r="A8" s="2"/>
      <c r="B8" s="264" t="n">
        <v>20</v>
      </c>
      <c r="C8" s="261" t="s">
        <v>2684</v>
      </c>
      <c r="D8" s="262" t="n">
        <v>26.9</v>
      </c>
      <c r="E8" s="262" t="n">
        <v>1.06</v>
      </c>
      <c r="F8" s="262" t="n">
        <v>26.4</v>
      </c>
      <c r="G8" s="262" t="n">
        <v>1.04</v>
      </c>
      <c r="H8" s="262" t="n">
        <v>1.6</v>
      </c>
      <c r="I8" s="262" t="n">
        <v>0.063</v>
      </c>
      <c r="J8" s="262" t="n">
        <v>0.99</v>
      </c>
      <c r="K8" s="262" t="n">
        <v>0.302</v>
      </c>
      <c r="L8" s="262" t="n">
        <v>0.666</v>
      </c>
      <c r="M8" s="2"/>
      <c r="N8" s="2"/>
      <c r="O8" s="2"/>
      <c r="P8" s="2"/>
    </row>
    <row r="9" customFormat="false" ht="30" hidden="false" customHeight="true" outlineLevel="0" collapsed="false">
      <c r="A9" s="2"/>
      <c r="B9" s="263" t="n">
        <v>25</v>
      </c>
      <c r="C9" s="259" t="s">
        <v>1045</v>
      </c>
      <c r="D9" s="260" t="n">
        <v>33.8</v>
      </c>
      <c r="E9" s="260" t="n">
        <v>1.33</v>
      </c>
      <c r="F9" s="260" t="n">
        <v>33.2</v>
      </c>
      <c r="G9" s="260" t="n">
        <v>1.31</v>
      </c>
      <c r="H9" s="260" t="n">
        <v>1.9</v>
      </c>
      <c r="I9" s="260" t="n">
        <v>0.075</v>
      </c>
      <c r="J9" s="260" t="n">
        <v>1.48</v>
      </c>
      <c r="K9" s="260" t="n">
        <v>0.451</v>
      </c>
      <c r="L9" s="260" t="n">
        <v>0.994</v>
      </c>
      <c r="M9" s="2"/>
      <c r="N9" s="2"/>
      <c r="O9" s="2"/>
      <c r="P9" s="2"/>
    </row>
    <row r="10" customFormat="false" ht="30" hidden="false" customHeight="true" outlineLevel="0" collapsed="false">
      <c r="A10" s="2"/>
      <c r="B10" s="264" t="n">
        <v>32</v>
      </c>
      <c r="C10" s="261" t="s">
        <v>2691</v>
      </c>
      <c r="D10" s="262" t="n">
        <v>42.5</v>
      </c>
      <c r="E10" s="262" t="n">
        <v>1.67</v>
      </c>
      <c r="F10" s="262" t="n">
        <v>41.9</v>
      </c>
      <c r="G10" s="262" t="n">
        <v>1.65</v>
      </c>
      <c r="H10" s="262" t="n">
        <v>1.9</v>
      </c>
      <c r="I10" s="262" t="n">
        <v>0.075</v>
      </c>
      <c r="J10" s="262" t="n">
        <v>1.89</v>
      </c>
      <c r="K10" s="262" t="n">
        <v>0.576</v>
      </c>
      <c r="L10" s="262" t="n">
        <v>1.27</v>
      </c>
      <c r="M10" s="2"/>
      <c r="N10" s="2"/>
      <c r="O10" s="2"/>
      <c r="P10" s="2"/>
    </row>
    <row r="11" customFormat="false" ht="30" hidden="false" customHeight="true" outlineLevel="0" collapsed="false">
      <c r="A11" s="2"/>
      <c r="B11" s="263" t="n">
        <v>40</v>
      </c>
      <c r="C11" s="259" t="s">
        <v>2695</v>
      </c>
      <c r="D11" s="260" t="n">
        <v>48.4</v>
      </c>
      <c r="E11" s="260" t="n">
        <v>1.9</v>
      </c>
      <c r="F11" s="260" t="n">
        <v>47.8</v>
      </c>
      <c r="G11" s="260" t="n">
        <v>1.88</v>
      </c>
      <c r="H11" s="260" t="n">
        <v>1.9</v>
      </c>
      <c r="I11" s="260" t="n">
        <v>0.075</v>
      </c>
      <c r="J11" s="260" t="n">
        <v>2.16</v>
      </c>
      <c r="K11" s="260" t="n">
        <v>0.658</v>
      </c>
      <c r="L11" s="260" t="n">
        <v>1.45</v>
      </c>
      <c r="M11" s="2"/>
      <c r="N11" s="2"/>
      <c r="O11" s="2"/>
      <c r="P11" s="2"/>
    </row>
    <row r="12" customFormat="false" ht="30" hidden="false" customHeight="true" outlineLevel="0" collapsed="false">
      <c r="A12" s="2"/>
      <c r="B12" s="264" t="n">
        <v>50</v>
      </c>
      <c r="C12" s="261" t="s">
        <v>2543</v>
      </c>
      <c r="D12" s="262" t="n">
        <v>60.2</v>
      </c>
      <c r="E12" s="262" t="n">
        <v>2.3</v>
      </c>
      <c r="F12" s="262" t="n">
        <v>59.6</v>
      </c>
      <c r="G12" s="262" t="n">
        <v>2.35</v>
      </c>
      <c r="H12" s="262" t="n">
        <v>1.9</v>
      </c>
      <c r="I12" s="262" t="n">
        <v>0.075</v>
      </c>
      <c r="J12" s="262" t="n">
        <v>2.72</v>
      </c>
      <c r="K12" s="262" t="n">
        <v>0.829</v>
      </c>
      <c r="L12" s="262" t="n">
        <v>1.83</v>
      </c>
      <c r="M12" s="2"/>
      <c r="N12" s="2"/>
      <c r="O12" s="2"/>
      <c r="P12" s="2"/>
    </row>
    <row r="13" customFormat="false" ht="30" hidden="false" customHeight="true" outlineLevel="0" collapsed="false">
      <c r="A13" s="2"/>
      <c r="B13" s="263" t="n">
        <v>65</v>
      </c>
      <c r="C13" s="259" t="s">
        <v>2705</v>
      </c>
      <c r="D13" s="260" t="n">
        <v>76</v>
      </c>
      <c r="E13" s="260" t="n">
        <v>2.99</v>
      </c>
      <c r="F13" s="260" t="n">
        <v>75.2</v>
      </c>
      <c r="G13" s="260" t="n">
        <v>2.96</v>
      </c>
      <c r="H13" s="260" t="n">
        <v>1.9</v>
      </c>
      <c r="I13" s="260" t="n">
        <v>0.075</v>
      </c>
      <c r="J13" s="260" t="n">
        <v>3.45</v>
      </c>
      <c r="K13" s="260" t="n">
        <v>1.05</v>
      </c>
      <c r="L13" s="260" t="n">
        <v>2.31</v>
      </c>
      <c r="M13" s="2"/>
      <c r="N13" s="2"/>
      <c r="O13" s="2"/>
      <c r="P13" s="2"/>
    </row>
    <row r="14" customFormat="false" ht="30" hidden="false" customHeight="true" outlineLevel="0" collapsed="false">
      <c r="A14" s="2"/>
      <c r="B14" s="264" t="n">
        <v>80</v>
      </c>
      <c r="C14" s="261" t="s">
        <v>987</v>
      </c>
      <c r="D14" s="262" t="n">
        <v>88.7</v>
      </c>
      <c r="E14" s="262" t="n">
        <v>3.49</v>
      </c>
      <c r="F14" s="262" t="n">
        <v>87.9</v>
      </c>
      <c r="G14" s="262" t="n">
        <v>3.46</v>
      </c>
      <c r="H14" s="262" t="n">
        <v>2.1</v>
      </c>
      <c r="I14" s="262" t="n">
        <v>0.083</v>
      </c>
      <c r="J14" s="262" t="n">
        <v>4.46</v>
      </c>
      <c r="K14" s="262" t="n">
        <v>1.36</v>
      </c>
      <c r="L14" s="262" t="n">
        <v>3</v>
      </c>
      <c r="M14" s="2"/>
      <c r="N14" s="2"/>
      <c r="O14" s="2"/>
      <c r="P14" s="2"/>
    </row>
    <row r="15" customFormat="false" ht="30" hidden="false" customHeight="true" outlineLevel="0" collapsed="false">
      <c r="A15" s="2"/>
      <c r="B15" s="263" t="n">
        <v>90</v>
      </c>
      <c r="C15" s="259" t="s">
        <v>2714</v>
      </c>
      <c r="D15" s="260" t="n">
        <v>102</v>
      </c>
      <c r="E15" s="260" t="n">
        <v>3.98</v>
      </c>
      <c r="F15" s="260" t="n">
        <v>101.1</v>
      </c>
      <c r="G15" s="260" t="n">
        <v>3.95</v>
      </c>
      <c r="H15" s="260" t="n">
        <v>2.1</v>
      </c>
      <c r="I15" s="260" t="n">
        <v>0.083</v>
      </c>
      <c r="J15" s="260" t="n">
        <v>5.15</v>
      </c>
      <c r="K15" s="260" t="n">
        <v>1.57</v>
      </c>
      <c r="L15" s="260" t="n">
        <v>3.46</v>
      </c>
      <c r="M15" s="2"/>
      <c r="N15" s="2"/>
      <c r="O15" s="2"/>
      <c r="P15" s="2"/>
    </row>
    <row r="16" customFormat="false" ht="30" hidden="false" customHeight="true" outlineLevel="0" collapsed="false">
      <c r="A16" s="2"/>
      <c r="B16" s="264" t="n">
        <v>100</v>
      </c>
      <c r="C16" s="261" t="s">
        <v>1830</v>
      </c>
      <c r="D16" s="262" t="n">
        <v>113.9</v>
      </c>
      <c r="E16" s="262" t="n">
        <v>4.48</v>
      </c>
      <c r="F16" s="262" t="n">
        <v>113</v>
      </c>
      <c r="G16" s="262" t="n">
        <v>4.45</v>
      </c>
      <c r="H16" s="262" t="n">
        <v>2.3</v>
      </c>
      <c r="I16" s="262" t="n">
        <v>0.091</v>
      </c>
      <c r="J16" s="262" t="n">
        <v>6.31</v>
      </c>
      <c r="K16" s="262" t="n">
        <v>1.92</v>
      </c>
      <c r="L16" s="262" t="n">
        <v>4.23</v>
      </c>
      <c r="M16" s="2"/>
      <c r="N16" s="2"/>
      <c r="O16" s="2"/>
      <c r="P16" s="2"/>
    </row>
    <row r="17" customFormat="false" ht="30" hidden="false" customHeight="true" outlineLevel="0" collapsed="false">
      <c r="A17" s="2"/>
      <c r="B17" s="263" t="n">
        <v>125</v>
      </c>
      <c r="C17" s="259" t="s">
        <v>1834</v>
      </c>
      <c r="D17" s="260" t="n">
        <v>140.6</v>
      </c>
      <c r="E17" s="260" t="n">
        <v>5.53</v>
      </c>
      <c r="F17" s="260" t="n">
        <v>138.7</v>
      </c>
      <c r="G17" s="260" t="n">
        <v>5.46</v>
      </c>
      <c r="H17" s="260" t="n">
        <v>4</v>
      </c>
      <c r="I17" s="260" t="n">
        <v>0.157</v>
      </c>
      <c r="J17" s="260" t="n">
        <v>13.4</v>
      </c>
      <c r="K17" s="260" t="n">
        <v>4.08</v>
      </c>
      <c r="L17" s="260" t="n">
        <v>8.99</v>
      </c>
      <c r="M17" s="2"/>
      <c r="N17" s="2"/>
      <c r="O17" s="2"/>
      <c r="P17" s="265" t="s">
        <v>5905</v>
      </c>
    </row>
    <row r="18" customFormat="false" ht="30" hidden="false" customHeight="true" outlineLevel="0" collapsed="false">
      <c r="A18" s="2"/>
      <c r="B18" s="264" t="n">
        <v>150</v>
      </c>
      <c r="C18" s="261" t="s">
        <v>1838</v>
      </c>
      <c r="D18" s="262" t="n">
        <v>166.1</v>
      </c>
      <c r="E18" s="262" t="n">
        <v>6.54</v>
      </c>
      <c r="F18" s="262" t="n">
        <v>164.1</v>
      </c>
      <c r="G18" s="262" t="n">
        <v>6.46</v>
      </c>
      <c r="H18" s="262" t="n">
        <v>4</v>
      </c>
      <c r="I18" s="262" t="n">
        <v>0.157</v>
      </c>
      <c r="J18" s="262" t="n">
        <v>15.9</v>
      </c>
      <c r="K18" s="262" t="n">
        <v>4.85</v>
      </c>
      <c r="L18" s="262" t="n">
        <v>10.7</v>
      </c>
      <c r="M18" s="2"/>
      <c r="N18" s="2"/>
      <c r="O18" s="2"/>
      <c r="P18" s="2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7.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45" hidden="false" customHeight="true" outlineLevel="0" collapsed="false">
      <c r="A21" s="2"/>
      <c r="B21" s="257" t="s">
        <v>2803</v>
      </c>
      <c r="C21" s="257"/>
      <c r="D21" s="257"/>
      <c r="E21" s="257"/>
      <c r="F21" s="257"/>
      <c r="G21" s="257"/>
      <c r="H21" s="257"/>
      <c r="I21" s="257"/>
      <c r="J21" s="257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58" t="s">
        <v>2756</v>
      </c>
      <c r="C22" s="258" t="s">
        <v>2757</v>
      </c>
      <c r="D22" s="258" t="s">
        <v>2675</v>
      </c>
      <c r="E22" s="258" t="s">
        <v>2804</v>
      </c>
      <c r="F22" s="258" t="s">
        <v>2677</v>
      </c>
      <c r="G22" s="258" t="s">
        <v>2196</v>
      </c>
      <c r="H22" s="258" t="s">
        <v>2197</v>
      </c>
      <c r="I22" s="258" t="s">
        <v>5906</v>
      </c>
      <c r="J22" s="258" t="s">
        <v>5907</v>
      </c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3" t="n">
        <v>15</v>
      </c>
      <c r="C23" s="259" t="s">
        <v>2679</v>
      </c>
      <c r="D23" s="260" t="n">
        <v>21.4</v>
      </c>
      <c r="E23" s="260" t="n">
        <v>17.6</v>
      </c>
      <c r="F23" s="260" t="n">
        <v>1.9</v>
      </c>
      <c r="G23" s="260" t="n">
        <v>0.904</v>
      </c>
      <c r="H23" s="260" t="n">
        <v>5.424</v>
      </c>
      <c r="I23" s="260" t="n">
        <v>0.913</v>
      </c>
      <c r="J23" s="260" t="n">
        <v>5.478</v>
      </c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4" t="n">
        <v>20</v>
      </c>
      <c r="C24" s="261" t="s">
        <v>2684</v>
      </c>
      <c r="D24" s="262" t="n">
        <v>26.9</v>
      </c>
      <c r="E24" s="262" t="n">
        <v>22.8</v>
      </c>
      <c r="F24" s="262" t="n">
        <v>2.05</v>
      </c>
      <c r="G24" s="262" t="n">
        <v>1.24</v>
      </c>
      <c r="H24" s="262" t="n">
        <v>7.44</v>
      </c>
      <c r="I24" s="262" t="n">
        <v>1.25</v>
      </c>
      <c r="J24" s="262" t="n">
        <v>7.5</v>
      </c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3" t="n">
        <v>25</v>
      </c>
      <c r="C25" s="259" t="s">
        <v>1045</v>
      </c>
      <c r="D25" s="260" t="n">
        <v>33.8</v>
      </c>
      <c r="E25" s="260" t="n">
        <v>29.1</v>
      </c>
      <c r="F25" s="260" t="n">
        <v>2.35</v>
      </c>
      <c r="G25" s="260" t="n">
        <v>1.8</v>
      </c>
      <c r="H25" s="260" t="n">
        <v>10.8</v>
      </c>
      <c r="I25" s="260" t="n">
        <v>1.82</v>
      </c>
      <c r="J25" s="260" t="n">
        <v>10.92</v>
      </c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4" t="n">
        <v>32</v>
      </c>
      <c r="C26" s="261" t="s">
        <v>2691</v>
      </c>
      <c r="D26" s="262" t="n">
        <v>42.5</v>
      </c>
      <c r="E26" s="262" t="n">
        <v>37.6</v>
      </c>
      <c r="F26" s="262" t="n">
        <v>2.45</v>
      </c>
      <c r="G26" s="262" t="n">
        <v>2.4</v>
      </c>
      <c r="H26" s="262" t="n">
        <v>14.4</v>
      </c>
      <c r="I26" s="262" t="n">
        <v>2.43</v>
      </c>
      <c r="J26" s="262" t="n">
        <v>14.58</v>
      </c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3" t="n">
        <v>40</v>
      </c>
      <c r="C27" s="259" t="s">
        <v>2695</v>
      </c>
      <c r="D27" s="260" t="n">
        <v>48.4</v>
      </c>
      <c r="E27" s="260" t="n">
        <v>43.3</v>
      </c>
      <c r="F27" s="260" t="n">
        <v>2.55</v>
      </c>
      <c r="G27" s="260" t="n">
        <v>2.86</v>
      </c>
      <c r="H27" s="260" t="n">
        <v>17.16</v>
      </c>
      <c r="I27" s="260" t="n">
        <v>2.9</v>
      </c>
      <c r="J27" s="260" t="n">
        <v>17.4</v>
      </c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4" t="n">
        <v>50</v>
      </c>
      <c r="C28" s="261" t="s">
        <v>2543</v>
      </c>
      <c r="D28" s="262" t="n">
        <v>60.2</v>
      </c>
      <c r="E28" s="262" t="n">
        <v>55</v>
      </c>
      <c r="F28" s="262" t="n">
        <v>2.6</v>
      </c>
      <c r="G28" s="262" t="n">
        <v>3.67</v>
      </c>
      <c r="H28" s="262" t="n">
        <v>22.02</v>
      </c>
      <c r="I28" s="262" t="n">
        <v>3.74</v>
      </c>
      <c r="J28" s="262" t="n">
        <v>22.44</v>
      </c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3" t="n">
        <v>65</v>
      </c>
      <c r="C29" s="259" t="s">
        <v>2705</v>
      </c>
      <c r="D29" s="260" t="n">
        <v>76</v>
      </c>
      <c r="E29" s="260" t="n">
        <v>70.4</v>
      </c>
      <c r="F29" s="260" t="n">
        <v>2.8</v>
      </c>
      <c r="G29" s="260" t="n">
        <v>5.03</v>
      </c>
      <c r="H29" s="260" t="n">
        <v>30.18</v>
      </c>
      <c r="I29" s="260" t="n">
        <v>5.15</v>
      </c>
      <c r="J29" s="260" t="n">
        <v>30.9</v>
      </c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4" t="n">
        <v>80</v>
      </c>
      <c r="C30" s="261" t="s">
        <v>987</v>
      </c>
      <c r="D30" s="262" t="n">
        <v>88.7</v>
      </c>
      <c r="E30" s="262" t="n">
        <v>82.8</v>
      </c>
      <c r="F30" s="262" t="n">
        <v>2.95</v>
      </c>
      <c r="G30" s="262" t="n">
        <v>6.21</v>
      </c>
      <c r="H30" s="262" t="n">
        <v>37.26</v>
      </c>
      <c r="I30" s="262" t="n">
        <v>6.38</v>
      </c>
      <c r="J30" s="262" t="n">
        <v>38.28</v>
      </c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3" t="n">
        <v>100</v>
      </c>
      <c r="C31" s="259" t="s">
        <v>1830</v>
      </c>
      <c r="D31" s="260" t="n">
        <v>113.9</v>
      </c>
      <c r="E31" s="260" t="n">
        <v>107.5</v>
      </c>
      <c r="F31" s="260" t="n">
        <v>3.2</v>
      </c>
      <c r="G31" s="260" t="n">
        <v>8.7</v>
      </c>
      <c r="H31" s="260" t="n">
        <v>52.2</v>
      </c>
      <c r="I31" s="260" t="n">
        <v>9.01</v>
      </c>
      <c r="J31" s="260" t="n">
        <v>54.06</v>
      </c>
      <c r="K31" s="2"/>
      <c r="L31" s="2"/>
      <c r="M31" s="2"/>
      <c r="N31" s="2"/>
      <c r="O31" s="2"/>
      <c r="P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7.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0" hidden="false" customHeight="true" outlineLevel="0" collapsed="false">
      <c r="A34" s="2"/>
      <c r="B34" s="255" t="s">
        <v>2828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"/>
      <c r="P34" s="2"/>
    </row>
    <row r="35" customFormat="false" ht="120" hidden="false" customHeight="true" outlineLevel="0" collapsed="false">
      <c r="A35" s="2"/>
      <c r="B35" s="255" t="s">
        <v>1279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"/>
      <c r="P35" s="2"/>
    </row>
  </sheetData>
  <autoFilter ref="B5:F35"/>
  <mergeCells count="6">
    <mergeCell ref="B2:P2"/>
    <mergeCell ref="B3:P3"/>
    <mergeCell ref="B5:L5"/>
    <mergeCell ref="B21:J21"/>
    <mergeCell ref="B34:N34"/>
    <mergeCell ref="B35:N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12"/>
    <col collapsed="false" customWidth="true" hidden="false" outlineLevel="0" max="4" min="4" style="1" width="13"/>
    <col collapsed="false" customWidth="true" hidden="false" outlineLevel="0" max="5" min="5" style="1" width="10"/>
    <col collapsed="false" customWidth="true" hidden="false" outlineLevel="0" max="6" min="6" style="1" width="13"/>
    <col collapsed="false" customWidth="true" hidden="false" outlineLevel="0" max="7" min="7" style="1" width="10"/>
    <col collapsed="false" customWidth="true" hidden="false" outlineLevel="0" max="8" min="8" style="1" width="13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1" min="11" style="1" width="10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5908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2830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20" hidden="false" customHeight="true" outlineLevel="0" collapsed="false">
      <c r="A5" s="2"/>
      <c r="B5" s="257" t="s">
        <v>2831</v>
      </c>
      <c r="C5" s="257"/>
      <c r="D5" s="257"/>
      <c r="E5" s="257"/>
      <c r="F5" s="257"/>
      <c r="G5" s="257"/>
      <c r="H5" s="257"/>
      <c r="I5" s="257"/>
      <c r="J5" s="257"/>
      <c r="K5" s="257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2832</v>
      </c>
      <c r="C6" s="258" t="s">
        <v>2833</v>
      </c>
      <c r="D6" s="258" t="s">
        <v>2834</v>
      </c>
      <c r="E6" s="258" t="s">
        <v>2835</v>
      </c>
      <c r="F6" s="258" t="s">
        <v>2836</v>
      </c>
      <c r="G6" s="258" t="s">
        <v>5909</v>
      </c>
      <c r="H6" s="258" t="s">
        <v>5910</v>
      </c>
      <c r="I6" s="258" t="s">
        <v>5911</v>
      </c>
      <c r="J6" s="258" t="s">
        <v>5912</v>
      </c>
      <c r="K6" s="258" t="s">
        <v>5913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0" t="n">
        <v>1.2</v>
      </c>
      <c r="C7" s="260" t="n">
        <v>0.875</v>
      </c>
      <c r="D7" s="260" t="n">
        <v>27.996</v>
      </c>
      <c r="E7" s="260" t="n">
        <v>35.7</v>
      </c>
      <c r="F7" s="260" t="n">
        <v>56</v>
      </c>
      <c r="G7" s="260" t="n">
        <v>17.86</v>
      </c>
      <c r="H7" s="260" t="n">
        <v>43.75</v>
      </c>
      <c r="I7" s="260" t="n">
        <v>22.852</v>
      </c>
      <c r="J7" s="260" t="n">
        <v>87.52</v>
      </c>
      <c r="K7" s="260" t="n">
        <v>11.426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2" t="n">
        <v>1.4</v>
      </c>
      <c r="C8" s="262" t="n">
        <v>1.021</v>
      </c>
      <c r="D8" s="262" t="n">
        <v>32.661</v>
      </c>
      <c r="E8" s="262" t="n">
        <v>30.6</v>
      </c>
      <c r="F8" s="261" t="s">
        <v>2848</v>
      </c>
      <c r="G8" s="261" t="s">
        <v>2848</v>
      </c>
      <c r="H8" s="262" t="n">
        <v>51.05</v>
      </c>
      <c r="I8" s="262" t="n">
        <v>19.589</v>
      </c>
      <c r="J8" s="262" t="n">
        <v>102.1</v>
      </c>
      <c r="K8" s="262" t="n">
        <v>9.794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0" t="n">
        <v>1.5</v>
      </c>
      <c r="C9" s="260" t="n">
        <v>1.094</v>
      </c>
      <c r="D9" s="260" t="n">
        <v>34.994</v>
      </c>
      <c r="E9" s="260" t="n">
        <v>28.6</v>
      </c>
      <c r="F9" s="260" t="n">
        <v>70</v>
      </c>
      <c r="G9" s="260" t="n">
        <v>14.29</v>
      </c>
      <c r="H9" s="260" t="n">
        <v>54.7</v>
      </c>
      <c r="I9" s="260" t="n">
        <v>18.282</v>
      </c>
      <c r="J9" s="260" t="n">
        <v>109.4</v>
      </c>
      <c r="K9" s="260" t="n">
        <v>9.141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2" t="n">
        <v>1.6</v>
      </c>
      <c r="C10" s="262" t="n">
        <v>1.167</v>
      </c>
      <c r="D10" s="262" t="n">
        <v>37.327</v>
      </c>
      <c r="E10" s="262" t="n">
        <v>26.8</v>
      </c>
      <c r="F10" s="262" t="n">
        <v>74.7</v>
      </c>
      <c r="G10" s="262" t="n">
        <v>13.39</v>
      </c>
      <c r="H10" s="262" t="n">
        <v>58.35</v>
      </c>
      <c r="I10" s="262" t="n">
        <v>17.138</v>
      </c>
      <c r="J10" s="262" t="n">
        <v>116.7</v>
      </c>
      <c r="K10" s="262" t="n">
        <v>8.569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0" t="n">
        <v>1.8</v>
      </c>
      <c r="C11" s="260" t="n">
        <v>1.313</v>
      </c>
      <c r="D11" s="260" t="n">
        <v>41.993</v>
      </c>
      <c r="E11" s="260" t="n">
        <v>23.8</v>
      </c>
      <c r="F11" s="259" t="s">
        <v>2848</v>
      </c>
      <c r="G11" s="259" t="s">
        <v>2848</v>
      </c>
      <c r="H11" s="260" t="n">
        <v>65.65</v>
      </c>
      <c r="I11" s="260" t="n">
        <v>15.232</v>
      </c>
      <c r="J11" s="260" t="n">
        <v>131.3</v>
      </c>
      <c r="K11" s="260" t="n">
        <v>9.616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2" t="n">
        <v>1.9</v>
      </c>
      <c r="C12" s="262" t="n">
        <v>1.386</v>
      </c>
      <c r="D12" s="262" t="n">
        <v>44.326</v>
      </c>
      <c r="E12" s="262" t="n">
        <v>22.6</v>
      </c>
      <c r="F12" s="262" t="n">
        <v>88.7</v>
      </c>
      <c r="G12" s="262" t="n">
        <v>11.27</v>
      </c>
      <c r="H12" s="262" t="n">
        <v>69.3</v>
      </c>
      <c r="I12" s="262" t="n">
        <v>14.43</v>
      </c>
      <c r="J12" s="262" t="n">
        <v>138.6</v>
      </c>
      <c r="K12" s="262" t="n">
        <v>7.215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0" t="n">
        <v>2</v>
      </c>
      <c r="C13" s="260" t="n">
        <v>1.459</v>
      </c>
      <c r="D13" s="260" t="n">
        <v>46.659</v>
      </c>
      <c r="E13" s="260" t="n">
        <v>21.4</v>
      </c>
      <c r="F13" s="260" t="n">
        <v>93.4</v>
      </c>
      <c r="G13" s="260" t="n">
        <v>10.71</v>
      </c>
      <c r="H13" s="260" t="n">
        <v>72.95</v>
      </c>
      <c r="I13" s="260" t="n">
        <v>13.708</v>
      </c>
      <c r="J13" s="260" t="n">
        <v>145.9</v>
      </c>
      <c r="K13" s="260" t="n">
        <v>6.854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2" t="n">
        <v>2.2</v>
      </c>
      <c r="C14" s="262" t="n">
        <v>1.605</v>
      </c>
      <c r="D14" s="262" t="n">
        <v>51.325</v>
      </c>
      <c r="E14" s="262" t="n">
        <v>19.5</v>
      </c>
      <c r="F14" s="261" t="s">
        <v>2848</v>
      </c>
      <c r="G14" s="261" t="s">
        <v>2848</v>
      </c>
      <c r="H14" s="262" t="n">
        <v>80.25</v>
      </c>
      <c r="I14" s="262" t="n">
        <v>12.461</v>
      </c>
      <c r="J14" s="262" t="n">
        <v>160.5</v>
      </c>
      <c r="K14" s="262" t="n">
        <v>6.231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0" t="n">
        <v>2.3</v>
      </c>
      <c r="C15" s="260" t="n">
        <v>1.677</v>
      </c>
      <c r="D15" s="260" t="n">
        <v>53.658</v>
      </c>
      <c r="E15" s="260" t="n">
        <v>18.6</v>
      </c>
      <c r="F15" s="260" t="n">
        <v>107</v>
      </c>
      <c r="G15" s="260" t="n">
        <v>9.35</v>
      </c>
      <c r="H15" s="260" t="n">
        <v>83.85</v>
      </c>
      <c r="I15" s="260" t="n">
        <v>11.926</v>
      </c>
      <c r="J15" s="260" t="n">
        <v>167.7</v>
      </c>
      <c r="K15" s="260" t="n">
        <v>5.963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2" t="n">
        <v>2.5</v>
      </c>
      <c r="C16" s="262" t="n">
        <v>1.824</v>
      </c>
      <c r="D16" s="262" t="n">
        <v>58.324</v>
      </c>
      <c r="E16" s="262" t="n">
        <v>17.1</v>
      </c>
      <c r="F16" s="262" t="n">
        <v>121</v>
      </c>
      <c r="G16" s="262" t="n">
        <v>8.27</v>
      </c>
      <c r="H16" s="262" t="n">
        <v>91.2</v>
      </c>
      <c r="I16" s="262" t="n">
        <v>10.965</v>
      </c>
      <c r="J16" s="262" t="n">
        <v>182.4</v>
      </c>
      <c r="K16" s="262" t="n">
        <v>5.482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0" t="n">
        <v>2.8</v>
      </c>
      <c r="C17" s="260" t="n">
        <v>2.042</v>
      </c>
      <c r="D17" s="260" t="n">
        <v>65.323</v>
      </c>
      <c r="E17" s="260" t="n">
        <v>15.3</v>
      </c>
      <c r="F17" s="260" t="n">
        <v>130.7</v>
      </c>
      <c r="G17" s="260" t="n">
        <v>7.65</v>
      </c>
      <c r="H17" s="260" t="n">
        <v>102.1</v>
      </c>
      <c r="I17" s="260" t="n">
        <v>9.794</v>
      </c>
      <c r="J17" s="260" t="n">
        <v>204.2</v>
      </c>
      <c r="K17" s="260" t="n">
        <v>4.897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2" t="n">
        <v>2.9</v>
      </c>
      <c r="C18" s="262" t="n">
        <v>2.12</v>
      </c>
      <c r="D18" s="262" t="n">
        <v>67.656</v>
      </c>
      <c r="E18" s="262" t="n">
        <v>14.8</v>
      </c>
      <c r="F18" s="261" t="s">
        <v>2848</v>
      </c>
      <c r="G18" s="261" t="s">
        <v>2848</v>
      </c>
      <c r="H18" s="262" t="n">
        <v>106</v>
      </c>
      <c r="I18" s="262" t="n">
        <v>9.434</v>
      </c>
      <c r="J18" s="262" t="n">
        <v>212</v>
      </c>
      <c r="K18" s="262" t="n">
        <v>4.717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0" t="n">
        <v>3</v>
      </c>
      <c r="C19" s="260" t="n">
        <v>2.188</v>
      </c>
      <c r="D19" s="260" t="n">
        <v>69.989</v>
      </c>
      <c r="E19" s="260" t="n">
        <v>14.3</v>
      </c>
      <c r="F19" s="260" t="n">
        <v>140</v>
      </c>
      <c r="G19" s="260" t="n">
        <v>7.14</v>
      </c>
      <c r="H19" s="260" t="n">
        <v>109.4</v>
      </c>
      <c r="I19" s="260" t="n">
        <v>9.141</v>
      </c>
      <c r="J19" s="260" t="n">
        <v>216.8</v>
      </c>
      <c r="K19" s="260" t="n">
        <v>4.57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2" t="n">
        <v>3.2</v>
      </c>
      <c r="C20" s="262" t="n">
        <v>2.334</v>
      </c>
      <c r="D20" s="262" t="n">
        <v>74.655</v>
      </c>
      <c r="E20" s="262" t="n">
        <v>13.4</v>
      </c>
      <c r="F20" s="262" t="n">
        <v>148</v>
      </c>
      <c r="G20" s="262" t="n">
        <v>6.76</v>
      </c>
      <c r="H20" s="262" t="n">
        <v>116.7</v>
      </c>
      <c r="I20" s="262" t="n">
        <v>8.569</v>
      </c>
      <c r="J20" s="262" t="n">
        <v>233.4</v>
      </c>
      <c r="K20" s="262" t="n">
        <v>4.284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0" t="n">
        <v>4</v>
      </c>
      <c r="C21" s="260" t="n">
        <v>2.917</v>
      </c>
      <c r="D21" s="260" t="n">
        <v>93.318</v>
      </c>
      <c r="E21" s="260" t="n">
        <v>10.7</v>
      </c>
      <c r="F21" s="260" t="n">
        <v>186.7</v>
      </c>
      <c r="G21" s="260" t="n">
        <v>5.36</v>
      </c>
      <c r="H21" s="260" t="n">
        <v>145.85</v>
      </c>
      <c r="I21" s="260" t="n">
        <v>6.856</v>
      </c>
      <c r="J21" s="260" t="n">
        <v>291.7</v>
      </c>
      <c r="K21" s="260" t="n">
        <v>3.428</v>
      </c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2" t="n">
        <v>4.3</v>
      </c>
      <c r="C22" s="262" t="n">
        <v>3.136</v>
      </c>
      <c r="D22" s="262" t="n">
        <v>100.317</v>
      </c>
      <c r="E22" s="262" t="n">
        <v>10</v>
      </c>
      <c r="F22" s="262" t="n">
        <v>200.7</v>
      </c>
      <c r="G22" s="262" t="n">
        <v>4.98</v>
      </c>
      <c r="H22" s="262" t="n">
        <v>156.8</v>
      </c>
      <c r="I22" s="262" t="n">
        <v>6.378</v>
      </c>
      <c r="J22" s="262" t="n">
        <v>313.6</v>
      </c>
      <c r="K22" s="262" t="n">
        <v>3.189</v>
      </c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0" t="n">
        <v>4.5</v>
      </c>
      <c r="C23" s="260" t="n">
        <v>3.282</v>
      </c>
      <c r="D23" s="260" t="n">
        <v>104.983</v>
      </c>
      <c r="E23" s="260" t="n">
        <v>9.5</v>
      </c>
      <c r="F23" s="260" t="n">
        <v>210</v>
      </c>
      <c r="G23" s="260" t="n">
        <v>4.76</v>
      </c>
      <c r="H23" s="260" t="n">
        <v>164.1</v>
      </c>
      <c r="I23" s="260" t="n">
        <v>6.094</v>
      </c>
      <c r="J23" s="260" t="n">
        <v>328.2</v>
      </c>
      <c r="K23" s="260" t="n">
        <v>3.047</v>
      </c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2" t="n">
        <v>5</v>
      </c>
      <c r="C24" s="262" t="n">
        <v>3.646</v>
      </c>
      <c r="D24" s="262" t="n">
        <v>116.648</v>
      </c>
      <c r="E24" s="262" t="n">
        <v>8.6</v>
      </c>
      <c r="F24" s="262" t="n">
        <v>233</v>
      </c>
      <c r="G24" s="262" t="n">
        <v>4.29</v>
      </c>
      <c r="H24" s="262" t="n">
        <v>182.3</v>
      </c>
      <c r="I24" s="262" t="n">
        <v>5.485</v>
      </c>
      <c r="J24" s="262" t="n">
        <v>364.6</v>
      </c>
      <c r="K24" s="262" t="n">
        <v>2.743</v>
      </c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0" t="n">
        <v>5.8</v>
      </c>
      <c r="C25" s="260" t="n">
        <v>4.23</v>
      </c>
      <c r="D25" s="260" t="n">
        <v>135.978</v>
      </c>
      <c r="E25" s="260" t="n">
        <v>7.4</v>
      </c>
      <c r="F25" s="260" t="n">
        <v>270.72</v>
      </c>
      <c r="G25" s="260" t="n">
        <v>3.69</v>
      </c>
      <c r="H25" s="260" t="n">
        <v>211.5</v>
      </c>
      <c r="I25" s="260" t="n">
        <v>4.728</v>
      </c>
      <c r="J25" s="260" t="n">
        <v>423</v>
      </c>
      <c r="K25" s="260" t="n">
        <v>2.364</v>
      </c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2" t="n">
        <v>6</v>
      </c>
      <c r="C26" s="262" t="n">
        <v>4.376</v>
      </c>
      <c r="D26" s="262" t="n">
        <v>139.978</v>
      </c>
      <c r="E26" s="262" t="n">
        <v>7.1</v>
      </c>
      <c r="F26" s="262" t="n">
        <v>280</v>
      </c>
      <c r="G26" s="262" t="n">
        <v>3.57</v>
      </c>
      <c r="H26" s="262" t="n">
        <v>218.8</v>
      </c>
      <c r="I26" s="262" t="n">
        <v>4.57</v>
      </c>
      <c r="J26" s="262" t="n">
        <v>437.6</v>
      </c>
      <c r="K26" s="262" t="n">
        <v>2.285</v>
      </c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0" t="n">
        <v>7.5</v>
      </c>
      <c r="C27" s="260" t="n">
        <v>5.47</v>
      </c>
      <c r="D27" s="260" t="n">
        <v>174.972</v>
      </c>
      <c r="E27" s="260" t="n">
        <v>5.7</v>
      </c>
      <c r="F27" s="260" t="n">
        <v>350</v>
      </c>
      <c r="G27" s="260" t="n">
        <v>2.86</v>
      </c>
      <c r="H27" s="260" t="n">
        <v>273.5</v>
      </c>
      <c r="I27" s="260" t="n">
        <v>3.656</v>
      </c>
      <c r="J27" s="260" t="n">
        <v>547</v>
      </c>
      <c r="K27" s="260" t="n">
        <v>1.828</v>
      </c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2" t="n">
        <v>8</v>
      </c>
      <c r="C28" s="262" t="n">
        <v>5.835</v>
      </c>
      <c r="D28" s="262" t="n">
        <v>186.637</v>
      </c>
      <c r="E28" s="262" t="n">
        <v>5.4</v>
      </c>
      <c r="F28" s="262" t="n">
        <v>373.38</v>
      </c>
      <c r="G28" s="262" t="n">
        <v>2.68</v>
      </c>
      <c r="H28" s="262" t="n">
        <v>291.7</v>
      </c>
      <c r="I28" s="262" t="n">
        <v>3.428</v>
      </c>
      <c r="J28" s="262" t="n">
        <v>583.4</v>
      </c>
      <c r="K28" s="262" t="n">
        <v>1.714</v>
      </c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0" t="n">
        <v>9</v>
      </c>
      <c r="C29" s="260" t="n">
        <v>6.564</v>
      </c>
      <c r="D29" s="260" t="n">
        <v>209.966</v>
      </c>
      <c r="E29" s="260" t="n">
        <v>4.8</v>
      </c>
      <c r="F29" s="260" t="n">
        <v>420.1</v>
      </c>
      <c r="G29" s="260" t="n">
        <v>2.38</v>
      </c>
      <c r="H29" s="260" t="n">
        <v>328.2</v>
      </c>
      <c r="I29" s="260" t="n">
        <v>3.047</v>
      </c>
      <c r="J29" s="260" t="n">
        <v>656.4</v>
      </c>
      <c r="K29" s="260" t="n">
        <v>1.523</v>
      </c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2" t="n">
        <v>10</v>
      </c>
      <c r="C30" s="262" t="n">
        <v>7.293</v>
      </c>
      <c r="D30" s="262" t="n">
        <v>233.296</v>
      </c>
      <c r="E30" s="262" t="n">
        <v>4.3</v>
      </c>
      <c r="F30" s="262" t="n">
        <v>466.76</v>
      </c>
      <c r="G30" s="262" t="n">
        <v>2.14</v>
      </c>
      <c r="H30" s="262" t="n">
        <v>364.65</v>
      </c>
      <c r="I30" s="262" t="n">
        <v>2.742</v>
      </c>
      <c r="J30" s="262" t="n">
        <v>729.3</v>
      </c>
      <c r="K30" s="262" t="n">
        <v>1.371</v>
      </c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0" t="n">
        <v>12</v>
      </c>
      <c r="C31" s="260" t="n">
        <v>8.752</v>
      </c>
      <c r="D31" s="260" t="n">
        <v>280.064</v>
      </c>
      <c r="E31" s="260" t="n">
        <v>3.6</v>
      </c>
      <c r="F31" s="260" t="n">
        <v>560.12</v>
      </c>
      <c r="G31" s="260" t="n">
        <v>1.79</v>
      </c>
      <c r="H31" s="260" t="n">
        <v>437.6</v>
      </c>
      <c r="I31" s="260" t="n">
        <v>2.285</v>
      </c>
      <c r="J31" s="260" t="n">
        <v>875.2</v>
      </c>
      <c r="K31" s="260" t="n">
        <v>1.143</v>
      </c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2" t="n">
        <v>15</v>
      </c>
      <c r="C32" s="262" t="n">
        <v>10.94</v>
      </c>
      <c r="D32" s="262" t="n">
        <v>350.05</v>
      </c>
      <c r="E32" s="262" t="n">
        <v>2.8</v>
      </c>
      <c r="F32" s="262" t="n">
        <v>700.16</v>
      </c>
      <c r="G32" s="262" t="n">
        <v>1.43</v>
      </c>
      <c r="H32" s="262" t="n">
        <v>547</v>
      </c>
      <c r="I32" s="262" t="n">
        <v>1.828</v>
      </c>
      <c r="J32" s="262" t="n">
        <v>1094</v>
      </c>
      <c r="K32" s="262" t="n">
        <v>0.914</v>
      </c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60" t="n">
        <v>16</v>
      </c>
      <c r="C33" s="260" t="n">
        <v>11.67</v>
      </c>
      <c r="D33" s="260" t="n">
        <v>373.39</v>
      </c>
      <c r="E33" s="260" t="n">
        <v>2.6</v>
      </c>
      <c r="F33" s="260" t="n">
        <v>746.88</v>
      </c>
      <c r="G33" s="260" t="n">
        <v>1.34</v>
      </c>
      <c r="H33" s="260" t="n">
        <v>583.5</v>
      </c>
      <c r="I33" s="260" t="n">
        <v>1.714</v>
      </c>
      <c r="J33" s="260" t="n">
        <v>1167</v>
      </c>
      <c r="K33" s="260" t="n">
        <v>0.857</v>
      </c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2" t="n">
        <v>18</v>
      </c>
      <c r="C34" s="262" t="n">
        <v>13.13</v>
      </c>
      <c r="D34" s="262" t="n">
        <v>420.07</v>
      </c>
      <c r="E34" s="262" t="n">
        <v>2.3</v>
      </c>
      <c r="F34" s="262" t="n">
        <v>840.32</v>
      </c>
      <c r="G34" s="262" t="n">
        <v>1.19</v>
      </c>
      <c r="H34" s="262" t="n">
        <v>656.5</v>
      </c>
      <c r="I34" s="262" t="n">
        <v>1.523</v>
      </c>
      <c r="J34" s="262" t="n">
        <v>1313</v>
      </c>
      <c r="K34" s="262" t="n">
        <v>0.762</v>
      </c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60" t="n">
        <v>19</v>
      </c>
      <c r="C35" s="260" t="n">
        <v>13.86</v>
      </c>
      <c r="D35" s="260" t="n">
        <v>443.41</v>
      </c>
      <c r="E35" s="260" t="n">
        <v>2.2</v>
      </c>
      <c r="F35" s="260" t="n">
        <v>887.04</v>
      </c>
      <c r="G35" s="260" t="n">
        <v>1.13</v>
      </c>
      <c r="H35" s="260" t="n">
        <v>693</v>
      </c>
      <c r="I35" s="260" t="n">
        <v>1.443</v>
      </c>
      <c r="J35" s="260" t="n">
        <v>1386</v>
      </c>
      <c r="K35" s="260" t="n">
        <v>0.722</v>
      </c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2" t="n">
        <v>20</v>
      </c>
      <c r="C36" s="262" t="n">
        <v>14.59</v>
      </c>
      <c r="D36" s="262" t="n">
        <v>466.88</v>
      </c>
      <c r="E36" s="262" t="n">
        <v>2.2</v>
      </c>
      <c r="F36" s="262" t="n">
        <v>933.76</v>
      </c>
      <c r="G36" s="262" t="n">
        <v>1.07</v>
      </c>
      <c r="H36" s="262" t="n">
        <v>729.5</v>
      </c>
      <c r="I36" s="262" t="n">
        <v>1.371</v>
      </c>
      <c r="J36" s="262" t="n">
        <v>1459</v>
      </c>
      <c r="K36" s="262" t="n">
        <v>0.685</v>
      </c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60" t="n">
        <v>22</v>
      </c>
      <c r="C37" s="260" t="n">
        <v>16.04</v>
      </c>
      <c r="D37" s="260" t="n">
        <v>513.24</v>
      </c>
      <c r="E37" s="260" t="n">
        <v>1.9</v>
      </c>
      <c r="F37" s="260" t="n">
        <v>1026.56</v>
      </c>
      <c r="G37" s="260" t="n">
        <v>0.97</v>
      </c>
      <c r="H37" s="260" t="n">
        <v>802</v>
      </c>
      <c r="I37" s="260" t="n">
        <v>1.247</v>
      </c>
      <c r="J37" s="260" t="n">
        <v>1604</v>
      </c>
      <c r="K37" s="260" t="n">
        <v>0.623</v>
      </c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2" t="n">
        <v>24</v>
      </c>
      <c r="C38" s="262" t="n">
        <v>17.5</v>
      </c>
      <c r="D38" s="262" t="n">
        <v>560</v>
      </c>
      <c r="E38" s="262" t="n">
        <v>1.8</v>
      </c>
      <c r="F38" s="262" t="n">
        <v>1120</v>
      </c>
      <c r="G38" s="262" t="n">
        <v>0.89</v>
      </c>
      <c r="H38" s="262" t="n">
        <v>875</v>
      </c>
      <c r="I38" s="262" t="n">
        <v>1.143</v>
      </c>
      <c r="J38" s="262" t="n">
        <v>1750</v>
      </c>
      <c r="K38" s="262" t="n">
        <v>0.571</v>
      </c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60" t="n">
        <v>25</v>
      </c>
      <c r="C39" s="260" t="n">
        <v>18.23</v>
      </c>
      <c r="D39" s="260" t="n">
        <v>583.43</v>
      </c>
      <c r="E39" s="260" t="n">
        <v>1.7</v>
      </c>
      <c r="F39" s="260" t="n">
        <v>1166.72</v>
      </c>
      <c r="G39" s="260" t="n">
        <v>0.86</v>
      </c>
      <c r="H39" s="260" t="n">
        <v>911.5</v>
      </c>
      <c r="I39" s="260" t="n">
        <v>1.097</v>
      </c>
      <c r="J39" s="260" t="n">
        <v>1823</v>
      </c>
      <c r="K39" s="260" t="n">
        <v>0.549</v>
      </c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2" t="n">
        <v>30</v>
      </c>
      <c r="C40" s="262" t="n">
        <v>21.88</v>
      </c>
      <c r="D40" s="262" t="n">
        <v>700</v>
      </c>
      <c r="E40" s="262" t="n">
        <v>1.4</v>
      </c>
      <c r="F40" s="262" t="n">
        <v>1400.32</v>
      </c>
      <c r="G40" s="262" t="n">
        <v>0.71</v>
      </c>
      <c r="H40" s="262" t="n">
        <v>1094</v>
      </c>
      <c r="I40" s="262" t="n">
        <v>0.941</v>
      </c>
      <c r="J40" s="262" t="n">
        <v>2188</v>
      </c>
      <c r="K40" s="262" t="n">
        <v>0.457</v>
      </c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60" t="n">
        <v>32</v>
      </c>
      <c r="C41" s="260" t="n">
        <v>23.34</v>
      </c>
      <c r="D41" s="260" t="n">
        <v>746.8</v>
      </c>
      <c r="E41" s="260" t="n">
        <v>1.3</v>
      </c>
      <c r="F41" s="260" t="n">
        <v>1493.76</v>
      </c>
      <c r="G41" s="260" t="n">
        <v>0.67</v>
      </c>
      <c r="H41" s="260" t="n">
        <v>1167</v>
      </c>
      <c r="I41" s="260" t="n">
        <v>0.857</v>
      </c>
      <c r="J41" s="260" t="n">
        <v>2334</v>
      </c>
      <c r="K41" s="260" t="n">
        <v>0.428</v>
      </c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2" t="n">
        <v>35</v>
      </c>
      <c r="C42" s="262" t="n">
        <v>25.527</v>
      </c>
      <c r="D42" s="262" t="n">
        <v>816.064</v>
      </c>
      <c r="E42" s="262" t="n">
        <v>1.2</v>
      </c>
      <c r="F42" s="262" t="n">
        <v>1634</v>
      </c>
      <c r="G42" s="262" t="n">
        <v>0.61</v>
      </c>
      <c r="H42" s="262" t="n">
        <v>1276.35</v>
      </c>
      <c r="I42" s="262" t="n">
        <v>0.783</v>
      </c>
      <c r="J42" s="262" t="n">
        <v>2552.7</v>
      </c>
      <c r="K42" s="262" t="n">
        <v>0.392</v>
      </c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60" t="n">
        <v>40</v>
      </c>
      <c r="C43" s="260" t="n">
        <v>29.173</v>
      </c>
      <c r="D43" s="260" t="n">
        <v>933</v>
      </c>
      <c r="E43" s="260" t="n">
        <v>1</v>
      </c>
      <c r="F43" s="259" t="s">
        <v>2848</v>
      </c>
      <c r="G43" s="259" t="s">
        <v>2848</v>
      </c>
      <c r="H43" s="260" t="n">
        <v>1458.65</v>
      </c>
      <c r="I43" s="260" t="n">
        <v>0.686</v>
      </c>
      <c r="J43" s="260" t="n">
        <v>2917.3</v>
      </c>
      <c r="K43" s="260" t="n">
        <v>0.343</v>
      </c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2" t="n">
        <v>45</v>
      </c>
      <c r="C44" s="262" t="n">
        <v>32.82</v>
      </c>
      <c r="D44" s="262" t="n">
        <v>2100.48</v>
      </c>
      <c r="E44" s="262" t="n">
        <v>0.95</v>
      </c>
      <c r="F44" s="261" t="s">
        <v>2848</v>
      </c>
      <c r="G44" s="261" t="s">
        <v>2848</v>
      </c>
      <c r="H44" s="262" t="n">
        <v>1641</v>
      </c>
      <c r="I44" s="262" t="n">
        <v>0.609</v>
      </c>
      <c r="J44" s="262" t="n">
        <v>3282</v>
      </c>
      <c r="K44" s="262" t="n">
        <v>0.305</v>
      </c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60" t="n">
        <v>50</v>
      </c>
      <c r="C45" s="260" t="n">
        <v>36.467</v>
      </c>
      <c r="D45" s="260" t="n">
        <v>1167</v>
      </c>
      <c r="E45" s="260" t="n">
        <v>0.86</v>
      </c>
      <c r="F45" s="259" t="s">
        <v>2848</v>
      </c>
      <c r="G45" s="259" t="s">
        <v>2848</v>
      </c>
      <c r="H45" s="260" t="n">
        <v>1823.35</v>
      </c>
      <c r="I45" s="260" t="n">
        <v>0.548</v>
      </c>
      <c r="J45" s="260" t="n">
        <v>3646.7</v>
      </c>
      <c r="K45" s="260" t="n">
        <v>0.274</v>
      </c>
      <c r="L45" s="2"/>
      <c r="M45" s="2"/>
      <c r="N45" s="2"/>
      <c r="O45" s="2"/>
      <c r="P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7.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0" hidden="false" customHeight="true" outlineLevel="0" collapsed="false">
      <c r="A48" s="2"/>
      <c r="B48" s="255" t="s">
        <v>3007</v>
      </c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"/>
      <c r="P48" s="2"/>
    </row>
    <row r="49" customFormat="false" ht="120" hidden="false" customHeight="true" outlineLevel="0" collapsed="false">
      <c r="A49" s="2"/>
      <c r="B49" s="255" t="s">
        <v>1279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"/>
      <c r="P49" s="2"/>
    </row>
  </sheetData>
  <autoFilter ref="B5:F49"/>
  <mergeCells count="5">
    <mergeCell ref="B2:P2"/>
    <mergeCell ref="B3:P3"/>
    <mergeCell ref="B5:K5"/>
    <mergeCell ref="B48:N48"/>
    <mergeCell ref="B49:N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8" min="3" style="1" width="18"/>
  </cols>
  <sheetData>
    <row r="1" customFormat="false" ht="15" hidden="false" customHeight="true" outlineLevel="0" collapsed="false">
      <c r="B1" s="27" t="s">
        <v>37</v>
      </c>
    </row>
    <row r="2" customFormat="false" ht="27.75" hidden="false" customHeight="true" outlineLevel="0" collapsed="false">
      <c r="B2" s="28" t="s">
        <v>48</v>
      </c>
      <c r="C2" s="28"/>
      <c r="D2" s="28"/>
      <c r="E2" s="28"/>
      <c r="F2" s="28"/>
      <c r="G2" s="28"/>
      <c r="H2" s="28"/>
    </row>
    <row r="4" customFormat="false" ht="25.5" hidden="false" customHeight="true" outlineLevel="0" collapsed="false">
      <c r="B4" s="29" t="s">
        <v>49</v>
      </c>
      <c r="C4" s="29"/>
      <c r="D4" s="29"/>
      <c r="E4" s="29"/>
      <c r="F4" s="29"/>
      <c r="G4" s="29"/>
      <c r="H4" s="29"/>
    </row>
    <row r="5" customFormat="false" ht="21.75" hidden="false" customHeight="true" outlineLevel="0" collapsed="false">
      <c r="B5" s="30" t="s">
        <v>50</v>
      </c>
      <c r="C5" s="30"/>
      <c r="D5" s="30"/>
      <c r="E5" s="30"/>
      <c r="F5" s="30"/>
      <c r="G5" s="30"/>
      <c r="H5" s="30"/>
    </row>
    <row r="6" customFormat="false" ht="27.75" hidden="false" customHeight="true" outlineLevel="0" collapsed="false">
      <c r="B6" s="31" t="s">
        <v>51</v>
      </c>
      <c r="C6" s="32" t="s">
        <v>52</v>
      </c>
      <c r="D6" s="32" t="s">
        <v>53</v>
      </c>
    </row>
    <row r="7" customFormat="false" ht="27.75" hidden="false" customHeight="true" outlineLevel="0" collapsed="false">
      <c r="B7" s="33" t="s">
        <v>54</v>
      </c>
      <c r="C7" s="34" t="s">
        <v>55</v>
      </c>
      <c r="D7" s="34" t="s">
        <v>56</v>
      </c>
    </row>
    <row r="8" customFormat="false" ht="27.75" hidden="false" customHeight="true" outlineLevel="0" collapsed="false">
      <c r="B8" s="35" t="s">
        <v>57</v>
      </c>
      <c r="C8" s="36" t="s">
        <v>58</v>
      </c>
      <c r="D8" s="36" t="s">
        <v>59</v>
      </c>
    </row>
    <row r="9" customFormat="false" ht="27.75" hidden="false" customHeight="true" outlineLevel="0" collapsed="false">
      <c r="B9" s="37" t="s">
        <v>60</v>
      </c>
      <c r="C9" s="34" t="s">
        <v>61</v>
      </c>
      <c r="D9" s="34" t="s">
        <v>62</v>
      </c>
    </row>
    <row r="10" customFormat="false" ht="27.75" hidden="false" customHeight="true" outlineLevel="0" collapsed="false">
      <c r="B10" s="35" t="s">
        <v>63</v>
      </c>
      <c r="C10" s="36" t="s">
        <v>64</v>
      </c>
      <c r="D10" s="36" t="s">
        <v>65</v>
      </c>
    </row>
    <row r="11" customFormat="false" ht="27.75" hidden="false" customHeight="true" outlineLevel="0" collapsed="false">
      <c r="B11" s="33" t="s">
        <v>66</v>
      </c>
      <c r="C11" s="34" t="s">
        <v>67</v>
      </c>
      <c r="D11" s="34" t="s">
        <v>68</v>
      </c>
    </row>
    <row r="12" customFormat="false" ht="27.75" hidden="false" customHeight="true" outlineLevel="0" collapsed="false">
      <c r="B12" s="37" t="s">
        <v>69</v>
      </c>
      <c r="C12" s="36" t="s">
        <v>70</v>
      </c>
      <c r="D12" s="36" t="s">
        <v>71</v>
      </c>
    </row>
    <row r="13" customFormat="false" ht="27.75" hidden="false" customHeight="true" outlineLevel="0" collapsed="false">
      <c r="B13" s="33" t="s">
        <v>72</v>
      </c>
      <c r="C13" s="34" t="s">
        <v>73</v>
      </c>
      <c r="D13" s="34" t="s">
        <v>74</v>
      </c>
    </row>
    <row r="14" customFormat="false" ht="27.75" hidden="false" customHeight="true" outlineLevel="0" collapsed="false">
      <c r="B14" s="37" t="s">
        <v>75</v>
      </c>
      <c r="C14" s="36" t="s">
        <v>76</v>
      </c>
      <c r="D14" s="36" t="s">
        <v>77</v>
      </c>
    </row>
    <row r="15" customFormat="false" ht="27.75" hidden="false" customHeight="true" outlineLevel="0" collapsed="false">
      <c r="B15" s="33" t="s">
        <v>78</v>
      </c>
      <c r="C15" s="34" t="s">
        <v>79</v>
      </c>
      <c r="D15" s="34" t="s">
        <v>80</v>
      </c>
    </row>
    <row r="16" customFormat="false" ht="27.75" hidden="false" customHeight="true" outlineLevel="0" collapsed="false">
      <c r="B16" s="35" t="s">
        <v>81</v>
      </c>
      <c r="C16" s="36" t="s">
        <v>82</v>
      </c>
      <c r="D16" s="36" t="s">
        <v>83</v>
      </c>
    </row>
    <row r="17" customFormat="false" ht="27.75" hidden="false" customHeight="true" outlineLevel="0" collapsed="false">
      <c r="B17" s="33" t="s">
        <v>84</v>
      </c>
      <c r="C17" s="34" t="s">
        <v>85</v>
      </c>
      <c r="D17" s="34" t="s">
        <v>86</v>
      </c>
    </row>
    <row r="18" customFormat="false" ht="27.75" hidden="false" customHeight="true" outlineLevel="0" collapsed="false">
      <c r="B18" s="35" t="s">
        <v>87</v>
      </c>
      <c r="C18" s="36" t="s">
        <v>88</v>
      </c>
      <c r="D18" s="36" t="s">
        <v>89</v>
      </c>
    </row>
    <row r="20" customFormat="false" ht="25.5" hidden="false" customHeight="true" outlineLevel="0" collapsed="false">
      <c r="B20" s="29" t="s">
        <v>90</v>
      </c>
      <c r="C20" s="29"/>
      <c r="D20" s="29"/>
      <c r="E20" s="29"/>
      <c r="F20" s="29"/>
      <c r="G20" s="29"/>
      <c r="H20" s="29"/>
    </row>
    <row r="21" customFormat="false" ht="21.75" hidden="false" customHeight="true" outlineLevel="0" collapsed="false">
      <c r="B21" s="30" t="s">
        <v>91</v>
      </c>
      <c r="C21" s="30"/>
      <c r="D21" s="30"/>
      <c r="E21" s="30"/>
      <c r="F21" s="30"/>
      <c r="G21" s="30"/>
      <c r="H21" s="30"/>
    </row>
    <row r="22" customFormat="false" ht="27.75" hidden="false" customHeight="true" outlineLevel="0" collapsed="false">
      <c r="B22" s="31" t="s">
        <v>51</v>
      </c>
      <c r="C22" s="32" t="s">
        <v>92</v>
      </c>
      <c r="D22" s="32" t="s">
        <v>93</v>
      </c>
      <c r="E22" s="32" t="s">
        <v>94</v>
      </c>
    </row>
    <row r="23" customFormat="false" ht="27.75" hidden="false" customHeight="true" outlineLevel="0" collapsed="false">
      <c r="B23" s="33" t="s">
        <v>95</v>
      </c>
      <c r="C23" s="34" t="s">
        <v>96</v>
      </c>
      <c r="D23" s="34" t="s">
        <v>97</v>
      </c>
      <c r="E23" s="34" t="s">
        <v>98</v>
      </c>
    </row>
    <row r="24" customFormat="false" ht="27.75" hidden="false" customHeight="true" outlineLevel="0" collapsed="false">
      <c r="B24" s="35" t="s">
        <v>99</v>
      </c>
      <c r="C24" s="36" t="s">
        <v>100</v>
      </c>
      <c r="D24" s="36" t="s">
        <v>101</v>
      </c>
      <c r="E24" s="36" t="s">
        <v>102</v>
      </c>
    </row>
    <row r="25" customFormat="false" ht="27.75" hidden="false" customHeight="true" outlineLevel="0" collapsed="false">
      <c r="B25" s="37" t="s">
        <v>103</v>
      </c>
      <c r="C25" s="34" t="s">
        <v>104</v>
      </c>
      <c r="D25" s="34" t="s">
        <v>105</v>
      </c>
      <c r="E25" s="34" t="s">
        <v>106</v>
      </c>
    </row>
    <row r="26" customFormat="false" ht="27.75" hidden="false" customHeight="true" outlineLevel="0" collapsed="false">
      <c r="B26" s="37" t="s">
        <v>107</v>
      </c>
      <c r="C26" s="36" t="s">
        <v>108</v>
      </c>
      <c r="D26" s="36" t="s">
        <v>109</v>
      </c>
      <c r="E26" s="36" t="s">
        <v>110</v>
      </c>
    </row>
    <row r="27" customFormat="false" ht="27.75" hidden="false" customHeight="true" outlineLevel="0" collapsed="false">
      <c r="B27" s="33" t="s">
        <v>111</v>
      </c>
      <c r="C27" s="34" t="s">
        <v>112</v>
      </c>
      <c r="D27" s="34" t="s">
        <v>113</v>
      </c>
      <c r="E27" s="34" t="s">
        <v>114</v>
      </c>
    </row>
    <row r="28" customFormat="false" ht="27.75" hidden="false" customHeight="true" outlineLevel="0" collapsed="false">
      <c r="B28" s="35" t="s">
        <v>115</v>
      </c>
      <c r="C28" s="36" t="s">
        <v>116</v>
      </c>
      <c r="D28" s="36" t="s">
        <v>117</v>
      </c>
      <c r="E28" s="36" t="s">
        <v>116</v>
      </c>
    </row>
    <row r="29" customFormat="false" ht="27.75" hidden="false" customHeight="true" outlineLevel="0" collapsed="false">
      <c r="B29" s="37" t="s">
        <v>118</v>
      </c>
      <c r="C29" s="34" t="s">
        <v>119</v>
      </c>
      <c r="D29" s="34" t="s">
        <v>120</v>
      </c>
      <c r="E29" s="34" t="s">
        <v>70</v>
      </c>
    </row>
    <row r="30" customFormat="false" ht="27.75" hidden="false" customHeight="true" outlineLevel="0" collapsed="false">
      <c r="B30" s="37" t="s">
        <v>121</v>
      </c>
      <c r="C30" s="36" t="s">
        <v>122</v>
      </c>
      <c r="D30" s="36" t="s">
        <v>123</v>
      </c>
      <c r="E30" s="36" t="s">
        <v>124</v>
      </c>
    </row>
    <row r="31" customFormat="false" ht="27.75" hidden="false" customHeight="true" outlineLevel="0" collapsed="false">
      <c r="B31" s="33" t="s">
        <v>125</v>
      </c>
      <c r="C31" s="34" t="s">
        <v>126</v>
      </c>
      <c r="D31" s="34" t="s">
        <v>127</v>
      </c>
      <c r="E31" s="34" t="s">
        <v>128</v>
      </c>
    </row>
    <row r="32" customFormat="false" ht="27.75" hidden="false" customHeight="true" outlineLevel="0" collapsed="false">
      <c r="B32" s="35" t="s">
        <v>84</v>
      </c>
      <c r="C32" s="36" t="s">
        <v>129</v>
      </c>
      <c r="D32" s="36" t="s">
        <v>130</v>
      </c>
      <c r="E32" s="36" t="s">
        <v>131</v>
      </c>
    </row>
    <row r="33" customFormat="false" ht="27.75" hidden="false" customHeight="true" outlineLevel="0" collapsed="false">
      <c r="B33" s="33" t="s">
        <v>87</v>
      </c>
      <c r="C33" s="34" t="s">
        <v>132</v>
      </c>
      <c r="D33" s="34" t="s">
        <v>133</v>
      </c>
      <c r="E33" s="34" t="s">
        <v>28</v>
      </c>
    </row>
    <row r="36" customFormat="false" ht="25.5" hidden="false" customHeight="true" outlineLevel="0" collapsed="false">
      <c r="B36" s="29" t="s">
        <v>134</v>
      </c>
      <c r="C36" s="29"/>
      <c r="D36" s="29"/>
      <c r="E36" s="29"/>
      <c r="F36" s="29"/>
      <c r="G36" s="29"/>
      <c r="H36" s="29"/>
    </row>
    <row r="37" customFormat="false" ht="21.75" hidden="false" customHeight="true" outlineLevel="0" collapsed="false">
      <c r="B37" s="30" t="s">
        <v>135</v>
      </c>
      <c r="C37" s="30"/>
      <c r="D37" s="30"/>
      <c r="E37" s="30"/>
      <c r="F37" s="30"/>
      <c r="G37" s="30"/>
      <c r="H37" s="30"/>
    </row>
    <row r="38" customFormat="false" ht="27.75" hidden="false" customHeight="true" outlineLevel="0" collapsed="false">
      <c r="B38" s="31" t="s">
        <v>51</v>
      </c>
      <c r="C38" s="32" t="s">
        <v>136</v>
      </c>
      <c r="D38" s="32" t="s">
        <v>137</v>
      </c>
      <c r="E38" s="32" t="s">
        <v>138</v>
      </c>
    </row>
    <row r="39" customFormat="false" ht="27.75" hidden="false" customHeight="true" outlineLevel="0" collapsed="false">
      <c r="B39" s="33" t="s">
        <v>139</v>
      </c>
      <c r="C39" s="34" t="s">
        <v>140</v>
      </c>
      <c r="D39" s="34" t="s">
        <v>141</v>
      </c>
      <c r="E39" s="34" t="s">
        <v>142</v>
      </c>
    </row>
    <row r="40" customFormat="false" ht="27.75" hidden="false" customHeight="true" outlineLevel="0" collapsed="false">
      <c r="B40" s="37" t="s">
        <v>60</v>
      </c>
      <c r="C40" s="36" t="s">
        <v>143</v>
      </c>
      <c r="D40" s="36" t="s">
        <v>144</v>
      </c>
      <c r="E40" s="36" t="s">
        <v>62</v>
      </c>
    </row>
    <row r="41" customFormat="false" ht="27.75" hidden="false" customHeight="true" outlineLevel="0" collapsed="false">
      <c r="B41" s="33" t="s">
        <v>145</v>
      </c>
      <c r="C41" s="34" t="s">
        <v>146</v>
      </c>
      <c r="D41" s="34" t="s">
        <v>147</v>
      </c>
      <c r="E41" s="34" t="s">
        <v>148</v>
      </c>
    </row>
    <row r="42" customFormat="false" ht="27.75" hidden="false" customHeight="true" outlineLevel="0" collapsed="false">
      <c r="B42" s="35" t="s">
        <v>66</v>
      </c>
      <c r="C42" s="36" t="s">
        <v>149</v>
      </c>
      <c r="D42" s="36" t="s">
        <v>67</v>
      </c>
      <c r="E42" s="36" t="s">
        <v>68</v>
      </c>
    </row>
    <row r="43" customFormat="false" ht="27.75" hidden="false" customHeight="true" outlineLevel="0" collapsed="false">
      <c r="B43" s="33" t="s">
        <v>150</v>
      </c>
      <c r="C43" s="34" t="s">
        <v>151</v>
      </c>
      <c r="D43" s="34" t="s">
        <v>152</v>
      </c>
      <c r="E43" s="34" t="s">
        <v>153</v>
      </c>
    </row>
    <row r="44" customFormat="false" ht="27.75" hidden="false" customHeight="true" outlineLevel="0" collapsed="false">
      <c r="B44" s="35" t="s">
        <v>154</v>
      </c>
      <c r="C44" s="36" t="s">
        <v>155</v>
      </c>
      <c r="D44" s="36" t="s">
        <v>156</v>
      </c>
      <c r="E44" s="36" t="s">
        <v>157</v>
      </c>
    </row>
    <row r="45" customFormat="false" ht="27.75" hidden="false" customHeight="true" outlineLevel="0" collapsed="false">
      <c r="B45" s="37" t="s">
        <v>158</v>
      </c>
      <c r="C45" s="34" t="s">
        <v>159</v>
      </c>
      <c r="D45" s="34" t="s">
        <v>159</v>
      </c>
      <c r="E45" s="34" t="s">
        <v>159</v>
      </c>
    </row>
    <row r="46" customFormat="false" ht="27.75" hidden="false" customHeight="true" outlineLevel="0" collapsed="false">
      <c r="B46" s="37" t="s">
        <v>160</v>
      </c>
      <c r="C46" s="36" t="s">
        <v>161</v>
      </c>
      <c r="D46" s="36" t="s">
        <v>162</v>
      </c>
      <c r="E46" s="36" t="s">
        <v>163</v>
      </c>
    </row>
    <row r="47" customFormat="false" ht="27.75" hidden="false" customHeight="true" outlineLevel="0" collapsed="false">
      <c r="B47" s="33" t="s">
        <v>164</v>
      </c>
      <c r="C47" s="34" t="s">
        <v>165</v>
      </c>
      <c r="D47" s="34" t="s">
        <v>166</v>
      </c>
      <c r="E47" s="34" t="s">
        <v>167</v>
      </c>
    </row>
    <row r="48" customFormat="false" ht="27.75" hidden="false" customHeight="true" outlineLevel="0" collapsed="false">
      <c r="B48" s="35" t="s">
        <v>168</v>
      </c>
      <c r="C48" s="36" t="s">
        <v>169</v>
      </c>
      <c r="D48" s="36" t="s">
        <v>170</v>
      </c>
      <c r="E48" s="36" t="s">
        <v>171</v>
      </c>
    </row>
    <row r="49" customFormat="false" ht="27.75" hidden="false" customHeight="true" outlineLevel="0" collapsed="false">
      <c r="B49" s="33" t="s">
        <v>84</v>
      </c>
      <c r="C49" s="34" t="s">
        <v>172</v>
      </c>
      <c r="D49" s="34" t="s">
        <v>173</v>
      </c>
      <c r="E49" s="34" t="s">
        <v>174</v>
      </c>
    </row>
    <row r="50" customFormat="false" ht="27.75" hidden="false" customHeight="true" outlineLevel="0" collapsed="false">
      <c r="B50" s="35" t="s">
        <v>87</v>
      </c>
      <c r="C50" s="36" t="s">
        <v>175</v>
      </c>
      <c r="D50" s="36" t="s">
        <v>28</v>
      </c>
      <c r="E50" s="36" t="s">
        <v>176</v>
      </c>
    </row>
    <row r="53" customFormat="false" ht="25.5" hidden="false" customHeight="true" outlineLevel="0" collapsed="false">
      <c r="B53" s="29" t="s">
        <v>177</v>
      </c>
      <c r="C53" s="29"/>
      <c r="D53" s="29"/>
      <c r="E53" s="29"/>
      <c r="F53" s="29"/>
      <c r="G53" s="29"/>
      <c r="H53" s="29"/>
    </row>
    <row r="54" customFormat="false" ht="21.75" hidden="false" customHeight="true" outlineLevel="0" collapsed="false">
      <c r="B54" s="30" t="s">
        <v>178</v>
      </c>
      <c r="C54" s="30"/>
      <c r="D54" s="30"/>
      <c r="E54" s="30"/>
      <c r="F54" s="30"/>
      <c r="G54" s="30"/>
      <c r="H54" s="30"/>
    </row>
    <row r="55" customFormat="false" ht="27.75" hidden="false" customHeight="true" outlineLevel="0" collapsed="false">
      <c r="B55" s="31" t="s">
        <v>51</v>
      </c>
      <c r="C55" s="32" t="s">
        <v>179</v>
      </c>
      <c r="D55" s="32" t="s">
        <v>180</v>
      </c>
      <c r="E55" s="32" t="s">
        <v>181</v>
      </c>
    </row>
    <row r="56" customFormat="false" ht="27.75" hidden="false" customHeight="true" outlineLevel="0" collapsed="false">
      <c r="B56" s="33" t="s">
        <v>182</v>
      </c>
      <c r="C56" s="34" t="s">
        <v>183</v>
      </c>
      <c r="D56" s="34" t="s">
        <v>184</v>
      </c>
      <c r="E56" s="34" t="s">
        <v>55</v>
      </c>
    </row>
    <row r="57" customFormat="false" ht="27.75" hidden="false" customHeight="true" outlineLevel="0" collapsed="false">
      <c r="B57" s="35" t="s">
        <v>103</v>
      </c>
      <c r="C57" s="36" t="s">
        <v>105</v>
      </c>
      <c r="D57" s="36" t="s">
        <v>104</v>
      </c>
      <c r="E57" s="36" t="s">
        <v>185</v>
      </c>
    </row>
    <row r="58" customFormat="false" ht="27.75" hidden="false" customHeight="true" outlineLevel="0" collapsed="false">
      <c r="B58" s="37" t="s">
        <v>107</v>
      </c>
      <c r="C58" s="34" t="s">
        <v>186</v>
      </c>
      <c r="D58" s="34" t="s">
        <v>187</v>
      </c>
      <c r="E58" s="34" t="s">
        <v>186</v>
      </c>
    </row>
    <row r="59" customFormat="false" ht="27.75" hidden="false" customHeight="true" outlineLevel="0" collapsed="false">
      <c r="B59" s="37" t="s">
        <v>111</v>
      </c>
      <c r="C59" s="36" t="s">
        <v>188</v>
      </c>
      <c r="D59" s="36" t="s">
        <v>189</v>
      </c>
      <c r="E59" s="36" t="s">
        <v>190</v>
      </c>
    </row>
    <row r="60" customFormat="false" ht="27.75" hidden="false" customHeight="true" outlineLevel="0" collapsed="false">
      <c r="B60" s="33" t="s">
        <v>191</v>
      </c>
      <c r="C60" s="34" t="s">
        <v>192</v>
      </c>
      <c r="D60" s="34" t="s">
        <v>193</v>
      </c>
      <c r="E60" s="34" t="s">
        <v>194</v>
      </c>
    </row>
    <row r="61" customFormat="false" ht="27.75" hidden="false" customHeight="true" outlineLevel="0" collapsed="false">
      <c r="B61" s="35" t="s">
        <v>195</v>
      </c>
      <c r="C61" s="36" t="s">
        <v>196</v>
      </c>
      <c r="D61" s="36" t="s">
        <v>116</v>
      </c>
      <c r="E61" s="36" t="s">
        <v>197</v>
      </c>
    </row>
    <row r="62" customFormat="false" ht="27.75" hidden="false" customHeight="true" outlineLevel="0" collapsed="false">
      <c r="B62" s="37" t="s">
        <v>160</v>
      </c>
      <c r="C62" s="34" t="s">
        <v>198</v>
      </c>
      <c r="D62" s="34" t="s">
        <v>199</v>
      </c>
      <c r="E62" s="34" t="s">
        <v>162</v>
      </c>
    </row>
    <row r="63" customFormat="false" ht="27.75" hidden="false" customHeight="true" outlineLevel="0" collapsed="false">
      <c r="B63" s="35" t="s">
        <v>200</v>
      </c>
      <c r="C63" s="36" t="s">
        <v>201</v>
      </c>
      <c r="D63" s="36" t="s">
        <v>201</v>
      </c>
      <c r="E63" s="36" t="s">
        <v>202</v>
      </c>
    </row>
    <row r="64" customFormat="false" ht="27.75" hidden="false" customHeight="true" outlineLevel="0" collapsed="false">
      <c r="B64" s="37" t="s">
        <v>121</v>
      </c>
      <c r="C64" s="34" t="s">
        <v>203</v>
      </c>
      <c r="D64" s="34" t="s">
        <v>122</v>
      </c>
      <c r="E64" s="34" t="s">
        <v>124</v>
      </c>
    </row>
    <row r="65" customFormat="false" ht="27.75" hidden="false" customHeight="true" outlineLevel="0" collapsed="false">
      <c r="B65" s="35" t="s">
        <v>84</v>
      </c>
      <c r="C65" s="36" t="s">
        <v>204</v>
      </c>
      <c r="D65" s="36" t="s">
        <v>205</v>
      </c>
      <c r="E65" s="36" t="s">
        <v>206</v>
      </c>
    </row>
    <row r="66" customFormat="false" ht="27.75" hidden="false" customHeight="true" outlineLevel="0" collapsed="false">
      <c r="B66" s="33" t="s">
        <v>87</v>
      </c>
      <c r="C66" s="34" t="s">
        <v>133</v>
      </c>
      <c r="D66" s="34" t="s">
        <v>132</v>
      </c>
      <c r="E66" s="34" t="s">
        <v>28</v>
      </c>
    </row>
    <row r="68" customFormat="false" ht="27.75" hidden="false" customHeight="true" outlineLevel="0" collapsed="false">
      <c r="B68" s="38" t="s">
        <v>207</v>
      </c>
      <c r="C68" s="38"/>
      <c r="D68" s="38"/>
      <c r="E68" s="38"/>
      <c r="F68" s="38"/>
      <c r="G68" s="38"/>
      <c r="H68" s="38"/>
    </row>
  </sheetData>
  <mergeCells count="10">
    <mergeCell ref="B2:H2"/>
    <mergeCell ref="B4:H4"/>
    <mergeCell ref="B5:H5"/>
    <mergeCell ref="B20:H20"/>
    <mergeCell ref="B21:H21"/>
    <mergeCell ref="B36:H36"/>
    <mergeCell ref="B37:H37"/>
    <mergeCell ref="B53:H53"/>
    <mergeCell ref="B54:H54"/>
    <mergeCell ref="B68:H68"/>
  </mergeCells>
  <hyperlinks>
    <hyperlink ref="B1" r:id="rId1" location="'Search'!B2" display="← Back to Sear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4" min="3" style="1" width="2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5914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3009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3010</v>
      </c>
      <c r="C5" s="257"/>
      <c r="D5" s="25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1807</v>
      </c>
      <c r="C6" s="258" t="s">
        <v>3011</v>
      </c>
      <c r="D6" s="258" t="s">
        <v>3012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0" t="n">
        <v>2.3</v>
      </c>
      <c r="C7" s="260" t="n">
        <v>58.67</v>
      </c>
      <c r="D7" s="260" t="n">
        <v>91.87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2" t="n">
        <v>2.5</v>
      </c>
      <c r="C8" s="262" t="n">
        <v>63.5</v>
      </c>
      <c r="D8" s="262" t="n">
        <v>99.16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0" t="n">
        <v>2.8</v>
      </c>
      <c r="C9" s="260" t="n">
        <v>70.35</v>
      </c>
      <c r="D9" s="260" t="n">
        <v>110.1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2" t="n">
        <v>3</v>
      </c>
      <c r="C10" s="262" t="n">
        <v>75.869</v>
      </c>
      <c r="D10" s="262" t="n">
        <v>117.336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0" t="n">
        <v>3.2</v>
      </c>
      <c r="C11" s="260" t="n">
        <v>79.735</v>
      </c>
      <c r="D11" s="260" t="n">
        <v>124.629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2" t="n">
        <v>4</v>
      </c>
      <c r="C12" s="262" t="n">
        <v>98.398</v>
      </c>
      <c r="D12" s="262" t="n">
        <v>153.801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0" t="n">
        <v>4.3</v>
      </c>
      <c r="C13" s="260" t="n">
        <v>105.394</v>
      </c>
      <c r="D13" s="260" t="n">
        <v>164.74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2" t="n">
        <v>4.5</v>
      </c>
      <c r="C14" s="262" t="n">
        <v>110.063</v>
      </c>
      <c r="D14" s="262" t="n">
        <v>172.033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0" t="n">
        <v>5</v>
      </c>
      <c r="C15" s="260" t="n">
        <v>121.7</v>
      </c>
      <c r="D15" s="260" t="n">
        <v>190.35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2" t="n">
        <v>5.5</v>
      </c>
      <c r="C16" s="262" t="n">
        <v>133.36</v>
      </c>
      <c r="D16" s="262" t="n">
        <v>208.56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0" t="n">
        <v>5.8</v>
      </c>
      <c r="C17" s="260" t="n">
        <v>140.392</v>
      </c>
      <c r="D17" s="260" t="n">
        <v>219.437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2" t="n">
        <v>6</v>
      </c>
      <c r="C18" s="262" t="n">
        <v>145.057</v>
      </c>
      <c r="D18" s="262" t="n">
        <v>226.73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0" t="n">
        <v>7.5</v>
      </c>
      <c r="C19" s="260" t="n">
        <v>180.052</v>
      </c>
      <c r="D19" s="260" t="n">
        <v>281.426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2" t="n">
        <v>8</v>
      </c>
      <c r="C20" s="262" t="n">
        <v>191.717</v>
      </c>
      <c r="D20" s="262" t="n">
        <v>299.659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0" t="n">
        <v>9</v>
      </c>
      <c r="C21" s="260" t="n">
        <v>215.046</v>
      </c>
      <c r="D21" s="260" t="n">
        <v>336.123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2" t="n">
        <v>10</v>
      </c>
      <c r="C22" s="262" t="n">
        <v>238.376</v>
      </c>
      <c r="D22" s="262" t="n">
        <v>372.587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0" t="n">
        <v>12</v>
      </c>
      <c r="C23" s="260" t="n">
        <v>285.035</v>
      </c>
      <c r="D23" s="260" t="n">
        <v>445.516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7.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05" hidden="false" customHeight="true" outlineLevel="0" collapsed="false">
      <c r="A26" s="2"/>
      <c r="B26" s="255" t="s">
        <v>3065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"/>
      <c r="P26" s="2"/>
    </row>
    <row r="27" customFormat="false" ht="105" hidden="false" customHeight="true" outlineLevel="0" collapsed="false">
      <c r="A27" s="2"/>
      <c r="B27" s="255" t="s">
        <v>1279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"/>
      <c r="P27" s="2"/>
    </row>
  </sheetData>
  <mergeCells count="5">
    <mergeCell ref="B2:P2"/>
    <mergeCell ref="B3:P3"/>
    <mergeCell ref="B5:D5"/>
    <mergeCell ref="B26:N26"/>
    <mergeCell ref="B27:N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A2A"/>
    <pageSetUpPr fitToPage="false"/>
  </sheetPr>
  <dimension ref="A1:P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14"/>
    <col collapsed="false" customWidth="true" hidden="false" outlineLevel="0" max="6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5915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3067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3068</v>
      </c>
      <c r="C5" s="257"/>
      <c r="D5" s="257"/>
      <c r="E5" s="257"/>
      <c r="F5" s="257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3069</v>
      </c>
      <c r="C6" s="258" t="s">
        <v>3070</v>
      </c>
      <c r="D6" s="258" t="s">
        <v>3071</v>
      </c>
      <c r="E6" s="258" t="s">
        <v>3072</v>
      </c>
      <c r="F6" s="258" t="s">
        <v>3073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3075</v>
      </c>
      <c r="C7" s="259" t="s">
        <v>3076</v>
      </c>
      <c r="D7" s="260" t="n">
        <v>1</v>
      </c>
      <c r="E7" s="260" t="n">
        <v>0.339</v>
      </c>
      <c r="F7" s="260" t="n">
        <v>2.032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627</v>
      </c>
      <c r="C8" s="261" t="s">
        <v>524</v>
      </c>
      <c r="D8" s="262" t="n">
        <v>1.2</v>
      </c>
      <c r="E8" s="262" t="n">
        <v>0.397</v>
      </c>
      <c r="F8" s="262" t="n">
        <v>2.383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627</v>
      </c>
      <c r="C9" s="259" t="s">
        <v>524</v>
      </c>
      <c r="D9" s="260" t="n">
        <v>1.6</v>
      </c>
      <c r="E9" s="260" t="n">
        <v>0.505</v>
      </c>
      <c r="F9" s="260" t="n">
        <v>3.03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3086</v>
      </c>
      <c r="C10" s="261" t="s">
        <v>3087</v>
      </c>
      <c r="D10" s="262" t="n">
        <v>1</v>
      </c>
      <c r="E10" s="262" t="n">
        <v>0.464</v>
      </c>
      <c r="F10" s="262" t="n">
        <v>2.768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2081</v>
      </c>
      <c r="C11" s="259" t="s">
        <v>524</v>
      </c>
      <c r="D11" s="260" t="n">
        <v>1.2</v>
      </c>
      <c r="E11" s="260" t="n">
        <v>0.548</v>
      </c>
      <c r="F11" s="260" t="n">
        <v>3.288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2081</v>
      </c>
      <c r="C12" s="261" t="s">
        <v>524</v>
      </c>
      <c r="D12" s="262" t="n">
        <v>1.6</v>
      </c>
      <c r="E12" s="262" t="n">
        <v>0.706</v>
      </c>
      <c r="F12" s="262" t="n">
        <v>4.237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3097</v>
      </c>
      <c r="C13" s="259" t="s">
        <v>3098</v>
      </c>
      <c r="D13" s="260" t="n">
        <v>1</v>
      </c>
      <c r="E13" s="260" t="n">
        <v>0.559</v>
      </c>
      <c r="F13" s="260" t="n">
        <v>3.351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580</v>
      </c>
      <c r="C14" s="261" t="s">
        <v>524</v>
      </c>
      <c r="D14" s="262" t="n">
        <v>1.2</v>
      </c>
      <c r="E14" s="262" t="n">
        <v>0.661</v>
      </c>
      <c r="F14" s="262" t="n">
        <v>3.966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580</v>
      </c>
      <c r="C15" s="259" t="s">
        <v>524</v>
      </c>
      <c r="D15" s="260" t="n">
        <v>1.6</v>
      </c>
      <c r="E15" s="260" t="n">
        <v>0.857</v>
      </c>
      <c r="F15" s="260" t="n">
        <v>5.142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1819</v>
      </c>
      <c r="C16" s="261" t="s">
        <v>3108</v>
      </c>
      <c r="D16" s="262" t="n">
        <v>1</v>
      </c>
      <c r="E16" s="262" t="n">
        <v>0.747</v>
      </c>
      <c r="F16" s="262" t="n">
        <v>4.482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2168</v>
      </c>
      <c r="C17" s="259" t="s">
        <v>524</v>
      </c>
      <c r="D17" s="260" t="n">
        <v>1.2</v>
      </c>
      <c r="E17" s="260" t="n">
        <v>0.887</v>
      </c>
      <c r="F17" s="260" t="n">
        <v>5.322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2168</v>
      </c>
      <c r="C18" s="261" t="s">
        <v>524</v>
      </c>
      <c r="D18" s="262" t="n">
        <v>1.6</v>
      </c>
      <c r="E18" s="262" t="n">
        <v>1.16</v>
      </c>
      <c r="F18" s="262" t="n">
        <v>6.96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2168</v>
      </c>
      <c r="C19" s="259" t="s">
        <v>524</v>
      </c>
      <c r="D19" s="260" t="n">
        <v>1.8</v>
      </c>
      <c r="E19" s="260" t="n">
        <v>1.29</v>
      </c>
      <c r="F19" s="260" t="n">
        <v>7.74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2168</v>
      </c>
      <c r="C20" s="261" t="s">
        <v>524</v>
      </c>
      <c r="D20" s="262" t="n">
        <v>2.3</v>
      </c>
      <c r="E20" s="262" t="n">
        <v>1.6</v>
      </c>
      <c r="F20" s="262" t="n">
        <v>9.6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2168</v>
      </c>
      <c r="C21" s="259" t="s">
        <v>524</v>
      </c>
      <c r="D21" s="260" t="n">
        <v>3</v>
      </c>
      <c r="E21" s="260" t="n">
        <v>2.01</v>
      </c>
      <c r="F21" s="260" t="n">
        <v>12.06</v>
      </c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2168</v>
      </c>
      <c r="C22" s="261" t="s">
        <v>524</v>
      </c>
      <c r="D22" s="262" t="n">
        <v>3.2</v>
      </c>
      <c r="E22" s="262" t="n">
        <v>2.12</v>
      </c>
      <c r="F22" s="262" t="n">
        <v>12.72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1842</v>
      </c>
      <c r="C23" s="259" t="s">
        <v>524</v>
      </c>
      <c r="D23" s="260" t="n">
        <v>1.2</v>
      </c>
      <c r="E23" s="260" t="n">
        <v>1.08</v>
      </c>
      <c r="F23" s="260" t="n">
        <v>6.48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1959</v>
      </c>
      <c r="C24" s="261" t="s">
        <v>524</v>
      </c>
      <c r="D24" s="262" t="n">
        <v>1.6</v>
      </c>
      <c r="E24" s="262" t="n">
        <v>1.41</v>
      </c>
      <c r="F24" s="262" t="n">
        <v>8.46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1959</v>
      </c>
      <c r="C25" s="259" t="s">
        <v>524</v>
      </c>
      <c r="D25" s="260" t="n">
        <v>1.8</v>
      </c>
      <c r="E25" s="260" t="n">
        <v>1.57</v>
      </c>
      <c r="F25" s="260" t="n">
        <v>9.42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1959</v>
      </c>
      <c r="C26" s="261" t="s">
        <v>524</v>
      </c>
      <c r="D26" s="262" t="n">
        <v>2.3</v>
      </c>
      <c r="E26" s="262" t="n">
        <v>1.97</v>
      </c>
      <c r="F26" s="262" t="n">
        <v>11.82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1959</v>
      </c>
      <c r="C27" s="259" t="s">
        <v>524</v>
      </c>
      <c r="D27" s="260" t="n">
        <v>3</v>
      </c>
      <c r="E27" s="260" t="n">
        <v>2.48</v>
      </c>
      <c r="F27" s="260" t="n">
        <v>14.88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1959</v>
      </c>
      <c r="C28" s="261" t="s">
        <v>524</v>
      </c>
      <c r="D28" s="262" t="n">
        <v>3.2</v>
      </c>
      <c r="E28" s="262" t="n">
        <v>2.62</v>
      </c>
      <c r="F28" s="262" t="n">
        <v>15.72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3138</v>
      </c>
      <c r="C29" s="259" t="s">
        <v>3139</v>
      </c>
      <c r="D29" s="260" t="n">
        <v>1.2</v>
      </c>
      <c r="E29" s="260" t="n">
        <v>1.15</v>
      </c>
      <c r="F29" s="260" t="n">
        <v>6.9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982</v>
      </c>
      <c r="C30" s="261" t="s">
        <v>524</v>
      </c>
      <c r="D30" s="262" t="n">
        <v>1.6</v>
      </c>
      <c r="E30" s="262" t="n">
        <v>1.51</v>
      </c>
      <c r="F30" s="262" t="n">
        <v>9.06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982</v>
      </c>
      <c r="C31" s="259" t="s">
        <v>524</v>
      </c>
      <c r="D31" s="260" t="n">
        <v>1.8</v>
      </c>
      <c r="E31" s="260" t="n">
        <v>1.69</v>
      </c>
      <c r="F31" s="260" t="n">
        <v>10.14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982</v>
      </c>
      <c r="C32" s="261" t="s">
        <v>524</v>
      </c>
      <c r="D32" s="262" t="n">
        <v>2</v>
      </c>
      <c r="E32" s="262" t="n">
        <v>1.86</v>
      </c>
      <c r="F32" s="262" t="n">
        <v>11.16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982</v>
      </c>
      <c r="C33" s="259" t="s">
        <v>524</v>
      </c>
      <c r="D33" s="260" t="n">
        <v>2.3</v>
      </c>
      <c r="E33" s="260" t="n">
        <v>2.11</v>
      </c>
      <c r="F33" s="260" t="n">
        <v>12.66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982</v>
      </c>
      <c r="C34" s="261" t="s">
        <v>524</v>
      </c>
      <c r="D34" s="262" t="n">
        <v>3</v>
      </c>
      <c r="E34" s="262" t="n">
        <v>2.67</v>
      </c>
      <c r="F34" s="262" t="n">
        <v>16.02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982</v>
      </c>
      <c r="C35" s="259" t="s">
        <v>524</v>
      </c>
      <c r="D35" s="260" t="n">
        <v>3.2</v>
      </c>
      <c r="E35" s="260" t="n">
        <v>2.83</v>
      </c>
      <c r="F35" s="260" t="n">
        <v>16.98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1858</v>
      </c>
      <c r="C36" s="261" t="s">
        <v>3158</v>
      </c>
      <c r="D36" s="262" t="n">
        <v>1.2</v>
      </c>
      <c r="E36" s="262" t="n">
        <v>1.38</v>
      </c>
      <c r="F36" s="262" t="n">
        <v>8.28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3161</v>
      </c>
      <c r="C37" s="259" t="s">
        <v>524</v>
      </c>
      <c r="D37" s="260" t="n">
        <v>1.6</v>
      </c>
      <c r="E37" s="260" t="n">
        <v>1.81</v>
      </c>
      <c r="F37" s="260" t="n">
        <v>10.86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3161</v>
      </c>
      <c r="C38" s="261" t="s">
        <v>524</v>
      </c>
      <c r="D38" s="262" t="n">
        <v>1.8</v>
      </c>
      <c r="E38" s="262" t="n">
        <v>2.02</v>
      </c>
      <c r="F38" s="262" t="n">
        <v>12.12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1858</v>
      </c>
      <c r="C39" s="259" t="s">
        <v>3158</v>
      </c>
      <c r="D39" s="260" t="n">
        <v>2</v>
      </c>
      <c r="E39" s="260" t="n">
        <v>2.23</v>
      </c>
      <c r="F39" s="260" t="n">
        <v>13.38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3161</v>
      </c>
      <c r="C40" s="261" t="s">
        <v>524</v>
      </c>
      <c r="D40" s="262" t="n">
        <v>2.3</v>
      </c>
      <c r="E40" s="262" t="n">
        <v>2.54</v>
      </c>
      <c r="F40" s="262" t="n">
        <v>15.24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3161</v>
      </c>
      <c r="C41" s="259" t="s">
        <v>524</v>
      </c>
      <c r="D41" s="260" t="n">
        <v>3</v>
      </c>
      <c r="E41" s="260" t="n">
        <v>3.24</v>
      </c>
      <c r="F41" s="260" t="n">
        <v>19.44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3161</v>
      </c>
      <c r="C42" s="261" t="s">
        <v>524</v>
      </c>
      <c r="D42" s="262" t="n">
        <v>3.2</v>
      </c>
      <c r="E42" s="262" t="n">
        <v>3.43</v>
      </c>
      <c r="F42" s="262" t="n">
        <v>20.58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1878</v>
      </c>
      <c r="C43" s="259" t="s">
        <v>524</v>
      </c>
      <c r="D43" s="260" t="n">
        <v>1.2</v>
      </c>
      <c r="E43" s="260" t="n">
        <v>1.43</v>
      </c>
      <c r="F43" s="260" t="n">
        <v>8.58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492</v>
      </c>
      <c r="C44" s="261" t="s">
        <v>524</v>
      </c>
      <c r="D44" s="262" t="n">
        <v>1.6</v>
      </c>
      <c r="E44" s="262" t="n">
        <v>1.88</v>
      </c>
      <c r="F44" s="262" t="n">
        <v>11.28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492</v>
      </c>
      <c r="C45" s="259" t="s">
        <v>524</v>
      </c>
      <c r="D45" s="260" t="n">
        <v>1.8</v>
      </c>
      <c r="E45" s="260" t="n">
        <v>2.09</v>
      </c>
      <c r="F45" s="260" t="n">
        <v>12.54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492</v>
      </c>
      <c r="C46" s="261" t="s">
        <v>524</v>
      </c>
      <c r="D46" s="262" t="n">
        <v>1.9</v>
      </c>
      <c r="E46" s="262" t="n">
        <v>2.2</v>
      </c>
      <c r="F46" s="262" t="n">
        <v>13.2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492</v>
      </c>
      <c r="C47" s="259" t="s">
        <v>524</v>
      </c>
      <c r="D47" s="260" t="n">
        <v>2</v>
      </c>
      <c r="E47" s="260" t="n">
        <v>2.31</v>
      </c>
      <c r="F47" s="260" t="n">
        <v>13.86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492</v>
      </c>
      <c r="C48" s="261" t="s">
        <v>524</v>
      </c>
      <c r="D48" s="262" t="n">
        <v>2.3</v>
      </c>
      <c r="E48" s="262" t="n">
        <v>2.62</v>
      </c>
      <c r="F48" s="262" t="n">
        <v>15.72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492</v>
      </c>
      <c r="C49" s="259" t="s">
        <v>524</v>
      </c>
      <c r="D49" s="260" t="n">
        <v>3</v>
      </c>
      <c r="E49" s="260" t="n">
        <v>3.3</v>
      </c>
      <c r="F49" s="260" t="n">
        <v>19.8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492</v>
      </c>
      <c r="C50" s="261" t="s">
        <v>524</v>
      </c>
      <c r="D50" s="262" t="n">
        <v>3.2</v>
      </c>
      <c r="E50" s="262" t="n">
        <v>3.49</v>
      </c>
      <c r="F50" s="262" t="n">
        <v>20.94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1908</v>
      </c>
      <c r="C51" s="259" t="s">
        <v>3194</v>
      </c>
      <c r="D51" s="260" t="n">
        <v>1.6</v>
      </c>
      <c r="E51" s="260" t="n">
        <v>2.41</v>
      </c>
      <c r="F51" s="260" t="n">
        <v>14.46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2699</v>
      </c>
      <c r="C52" s="261" t="s">
        <v>524</v>
      </c>
      <c r="D52" s="262" t="n">
        <v>1.8</v>
      </c>
      <c r="E52" s="262" t="n">
        <v>2.7</v>
      </c>
      <c r="F52" s="262" t="n">
        <v>16.2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2699</v>
      </c>
      <c r="C53" s="259" t="s">
        <v>524</v>
      </c>
      <c r="D53" s="260" t="n">
        <v>1.9</v>
      </c>
      <c r="E53" s="260" t="n">
        <v>2.8</v>
      </c>
      <c r="F53" s="260" t="n">
        <v>16.8</v>
      </c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2699</v>
      </c>
      <c r="C54" s="261" t="s">
        <v>524</v>
      </c>
      <c r="D54" s="262" t="n">
        <v>2.3</v>
      </c>
      <c r="E54" s="262" t="n">
        <v>3.41</v>
      </c>
      <c r="F54" s="262" t="n">
        <v>20.46</v>
      </c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2699</v>
      </c>
      <c r="C55" s="259" t="s">
        <v>524</v>
      </c>
      <c r="D55" s="260" t="n">
        <v>3</v>
      </c>
      <c r="E55" s="260" t="n">
        <v>4.25</v>
      </c>
      <c r="F55" s="260" t="n">
        <v>25.5</v>
      </c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2699</v>
      </c>
      <c r="C56" s="261" t="s">
        <v>524</v>
      </c>
      <c r="D56" s="262" t="n">
        <v>3.2</v>
      </c>
      <c r="E56" s="262" t="n">
        <v>4.5</v>
      </c>
      <c r="F56" s="262" t="n">
        <v>27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2699</v>
      </c>
      <c r="C57" s="259" t="s">
        <v>524</v>
      </c>
      <c r="D57" s="260" t="n">
        <v>4</v>
      </c>
      <c r="E57" s="260" t="n">
        <v>5.45</v>
      </c>
      <c r="F57" s="260" t="n">
        <v>32.7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2699</v>
      </c>
      <c r="C58" s="261" t="s">
        <v>524</v>
      </c>
      <c r="D58" s="262" t="n">
        <v>4.5</v>
      </c>
      <c r="E58" s="262" t="n">
        <v>6.02</v>
      </c>
      <c r="F58" s="262" t="n">
        <v>36.12</v>
      </c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2699</v>
      </c>
      <c r="C59" s="259" t="s">
        <v>524</v>
      </c>
      <c r="D59" s="260" t="n">
        <v>5</v>
      </c>
      <c r="E59" s="260" t="n">
        <v>6.56</v>
      </c>
      <c r="F59" s="260" t="n">
        <v>39.36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2699</v>
      </c>
      <c r="C60" s="261" t="s">
        <v>524</v>
      </c>
      <c r="D60" s="262" t="n">
        <v>6</v>
      </c>
      <c r="E60" s="262" t="n">
        <v>7.56</v>
      </c>
      <c r="F60" s="262" t="n">
        <v>45.36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1933</v>
      </c>
      <c r="C61" s="259" t="s">
        <v>524</v>
      </c>
      <c r="D61" s="260" t="n">
        <v>1.6</v>
      </c>
      <c r="E61" s="260" t="n">
        <v>2.88</v>
      </c>
      <c r="F61" s="260" t="n">
        <v>17.28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3220</v>
      </c>
      <c r="C62" s="261" t="s">
        <v>524</v>
      </c>
      <c r="D62" s="262" t="n">
        <v>2.3</v>
      </c>
      <c r="E62" s="262" t="n">
        <v>4.06</v>
      </c>
      <c r="F62" s="262" t="n">
        <v>24.36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3220</v>
      </c>
      <c r="C63" s="259" t="s">
        <v>524</v>
      </c>
      <c r="D63" s="260" t="n">
        <v>3</v>
      </c>
      <c r="E63" s="260" t="n">
        <v>5.18</v>
      </c>
      <c r="F63" s="260" t="n">
        <v>31.08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3220</v>
      </c>
      <c r="C64" s="261" t="s">
        <v>524</v>
      </c>
      <c r="D64" s="262" t="n">
        <v>3.2</v>
      </c>
      <c r="E64" s="262" t="n">
        <v>5.5</v>
      </c>
      <c r="F64" s="262" t="n">
        <v>33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3220</v>
      </c>
      <c r="C65" s="259" t="s">
        <v>524</v>
      </c>
      <c r="D65" s="260" t="n">
        <v>4</v>
      </c>
      <c r="E65" s="260" t="n">
        <v>6.71</v>
      </c>
      <c r="F65" s="260" t="n">
        <v>40.26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3220</v>
      </c>
      <c r="C66" s="261" t="s">
        <v>524</v>
      </c>
      <c r="D66" s="262" t="n">
        <v>4.5</v>
      </c>
      <c r="E66" s="262" t="n">
        <v>7.43</v>
      </c>
      <c r="F66" s="262" t="n">
        <v>44.58</v>
      </c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1958</v>
      </c>
      <c r="C67" s="259" t="s">
        <v>3226</v>
      </c>
      <c r="D67" s="260" t="n">
        <v>2.3</v>
      </c>
      <c r="E67" s="260" t="n">
        <v>4.42</v>
      </c>
      <c r="F67" s="260" t="n">
        <v>26.52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2704</v>
      </c>
      <c r="C68" s="261" t="s">
        <v>524</v>
      </c>
      <c r="D68" s="262" t="n">
        <v>3</v>
      </c>
      <c r="E68" s="262" t="n">
        <v>5.66</v>
      </c>
      <c r="F68" s="262" t="n">
        <v>33.96</v>
      </c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2704</v>
      </c>
      <c r="C69" s="259" t="s">
        <v>524</v>
      </c>
      <c r="D69" s="260" t="n">
        <v>3.2</v>
      </c>
      <c r="E69" s="260" t="n">
        <v>6</v>
      </c>
      <c r="F69" s="260" t="n">
        <v>36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2704</v>
      </c>
      <c r="C70" s="261" t="s">
        <v>524</v>
      </c>
      <c r="D70" s="262" t="n">
        <v>4</v>
      </c>
      <c r="E70" s="262" t="n">
        <v>7.34</v>
      </c>
      <c r="F70" s="262" t="n">
        <v>44.04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1992</v>
      </c>
      <c r="C71" s="259" t="s">
        <v>3237</v>
      </c>
      <c r="D71" s="260" t="n">
        <v>2.3</v>
      </c>
      <c r="E71" s="260" t="n">
        <v>5.14</v>
      </c>
      <c r="F71" s="260" t="n">
        <v>30.84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3241</v>
      </c>
      <c r="C72" s="261" t="s">
        <v>524</v>
      </c>
      <c r="D72" s="262" t="n">
        <v>3</v>
      </c>
      <c r="E72" s="262" t="n">
        <v>6.6</v>
      </c>
      <c r="F72" s="262" t="n">
        <v>39.6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3241</v>
      </c>
      <c r="C73" s="259" t="s">
        <v>524</v>
      </c>
      <c r="D73" s="260" t="n">
        <v>3.2</v>
      </c>
      <c r="E73" s="260" t="n">
        <v>7.01</v>
      </c>
      <c r="F73" s="260" t="n">
        <v>42.06</v>
      </c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3241</v>
      </c>
      <c r="C74" s="261" t="s">
        <v>524</v>
      </c>
      <c r="D74" s="262" t="n">
        <v>4</v>
      </c>
      <c r="E74" s="262" t="n">
        <v>8.6</v>
      </c>
      <c r="F74" s="262" t="n">
        <v>51.6</v>
      </c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3241</v>
      </c>
      <c r="C75" s="259" t="s">
        <v>524</v>
      </c>
      <c r="D75" s="260" t="n">
        <v>4.5</v>
      </c>
      <c r="E75" s="260" t="n">
        <v>9.55</v>
      </c>
      <c r="F75" s="260" t="n">
        <v>57.3</v>
      </c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3241</v>
      </c>
      <c r="C76" s="261" t="s">
        <v>524</v>
      </c>
      <c r="D76" s="262" t="n">
        <v>5</v>
      </c>
      <c r="E76" s="262" t="n">
        <v>10.5</v>
      </c>
      <c r="F76" s="262" t="n">
        <v>63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3241</v>
      </c>
      <c r="C77" s="259" t="s">
        <v>524</v>
      </c>
      <c r="D77" s="260" t="n">
        <v>6</v>
      </c>
      <c r="E77" s="260" t="n">
        <v>12.3</v>
      </c>
      <c r="F77" s="260" t="n">
        <v>73.8</v>
      </c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2031</v>
      </c>
      <c r="C78" s="261" t="s">
        <v>3255</v>
      </c>
      <c r="D78" s="262" t="n">
        <v>2.3</v>
      </c>
      <c r="E78" s="262" t="n">
        <v>6.23</v>
      </c>
      <c r="F78" s="262" t="n">
        <v>37.38</v>
      </c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2062</v>
      </c>
      <c r="C79" s="259" t="s">
        <v>524</v>
      </c>
      <c r="D79" s="260" t="n">
        <v>3</v>
      </c>
      <c r="E79" s="260" t="n">
        <v>8.01</v>
      </c>
      <c r="F79" s="260" t="n">
        <v>48.06</v>
      </c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2062</v>
      </c>
      <c r="C80" s="261" t="s">
        <v>524</v>
      </c>
      <c r="D80" s="262" t="n">
        <v>3.2</v>
      </c>
      <c r="E80" s="262" t="n">
        <v>8.52</v>
      </c>
      <c r="F80" s="262" t="n">
        <v>51.12</v>
      </c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2062</v>
      </c>
      <c r="C81" s="259" t="s">
        <v>524</v>
      </c>
      <c r="D81" s="260" t="n">
        <v>4</v>
      </c>
      <c r="E81" s="260" t="n">
        <v>10.5</v>
      </c>
      <c r="F81" s="260" t="n">
        <v>63</v>
      </c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2062</v>
      </c>
      <c r="C82" s="261" t="s">
        <v>524</v>
      </c>
      <c r="D82" s="262" t="n">
        <v>4.5</v>
      </c>
      <c r="E82" s="262" t="n">
        <v>11.7</v>
      </c>
      <c r="F82" s="262" t="n">
        <v>70.2</v>
      </c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2062</v>
      </c>
      <c r="C83" s="259" t="s">
        <v>524</v>
      </c>
      <c r="D83" s="260" t="n">
        <v>5</v>
      </c>
      <c r="E83" s="260" t="n">
        <v>12.8</v>
      </c>
      <c r="F83" s="260" t="n">
        <v>76.8</v>
      </c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2062</v>
      </c>
      <c r="C84" s="261" t="s">
        <v>524</v>
      </c>
      <c r="D84" s="262" t="n">
        <v>6</v>
      </c>
      <c r="E84" s="262" t="n">
        <v>15.1</v>
      </c>
      <c r="F84" s="262" t="n">
        <v>90.6</v>
      </c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2052</v>
      </c>
      <c r="C85" s="259" t="s">
        <v>3269</v>
      </c>
      <c r="D85" s="260" t="n">
        <v>2.3</v>
      </c>
      <c r="E85" s="260" t="n">
        <v>7.78</v>
      </c>
      <c r="F85" s="260" t="n">
        <v>46.68</v>
      </c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2717</v>
      </c>
      <c r="C86" s="261" t="s">
        <v>524</v>
      </c>
      <c r="D86" s="262" t="n">
        <v>3</v>
      </c>
      <c r="E86" s="262" t="n">
        <v>8.96</v>
      </c>
      <c r="F86" s="262" t="n">
        <v>53.76</v>
      </c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2717</v>
      </c>
      <c r="C87" s="259" t="s">
        <v>524</v>
      </c>
      <c r="D87" s="260" t="n">
        <v>3.2</v>
      </c>
      <c r="E87" s="260" t="n">
        <v>9.52</v>
      </c>
      <c r="F87" s="260" t="n">
        <v>57.12</v>
      </c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2717</v>
      </c>
      <c r="C88" s="261" t="s">
        <v>524</v>
      </c>
      <c r="D88" s="262" t="n">
        <v>4</v>
      </c>
      <c r="E88" s="262" t="n">
        <v>11.7</v>
      </c>
      <c r="F88" s="262" t="n">
        <v>70.2</v>
      </c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2717</v>
      </c>
      <c r="C89" s="259" t="s">
        <v>524</v>
      </c>
      <c r="D89" s="260" t="n">
        <v>4.5</v>
      </c>
      <c r="E89" s="260" t="n">
        <v>13.1</v>
      </c>
      <c r="F89" s="260" t="n">
        <v>78.6</v>
      </c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2717</v>
      </c>
      <c r="C90" s="261" t="s">
        <v>524</v>
      </c>
      <c r="D90" s="262" t="n">
        <v>5</v>
      </c>
      <c r="E90" s="262" t="n">
        <v>14.4</v>
      </c>
      <c r="F90" s="262" t="n">
        <v>86.4</v>
      </c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2717</v>
      </c>
      <c r="C91" s="259" t="s">
        <v>524</v>
      </c>
      <c r="D91" s="260" t="n">
        <v>6</v>
      </c>
      <c r="E91" s="260" t="n">
        <v>17</v>
      </c>
      <c r="F91" s="260" t="n">
        <v>102</v>
      </c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2717</v>
      </c>
      <c r="C92" s="261" t="s">
        <v>524</v>
      </c>
      <c r="D92" s="262" t="n">
        <v>9</v>
      </c>
      <c r="E92" s="262" t="n">
        <v>24.1</v>
      </c>
      <c r="F92" s="262" t="n">
        <v>144.6</v>
      </c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2094</v>
      </c>
      <c r="C93" s="259" t="s">
        <v>3284</v>
      </c>
      <c r="D93" s="260" t="n">
        <v>3</v>
      </c>
      <c r="E93" s="260" t="n">
        <v>11.3</v>
      </c>
      <c r="F93" s="260" t="n">
        <v>67.8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749</v>
      </c>
      <c r="C94" s="261" t="s">
        <v>524</v>
      </c>
      <c r="D94" s="262" t="n">
        <v>4</v>
      </c>
      <c r="E94" s="262" t="n">
        <v>14.9</v>
      </c>
      <c r="F94" s="262" t="n">
        <v>89.4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749</v>
      </c>
      <c r="C95" s="259" t="s">
        <v>524</v>
      </c>
      <c r="D95" s="260" t="n">
        <v>4.5</v>
      </c>
      <c r="E95" s="260" t="n">
        <v>16.6</v>
      </c>
      <c r="F95" s="260" t="n">
        <v>99.6</v>
      </c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749</v>
      </c>
      <c r="C96" s="261" t="s">
        <v>524</v>
      </c>
      <c r="D96" s="262" t="n">
        <v>5</v>
      </c>
      <c r="E96" s="262" t="n">
        <v>18.3</v>
      </c>
      <c r="F96" s="262" t="n">
        <v>109.8</v>
      </c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749</v>
      </c>
      <c r="C97" s="259" t="s">
        <v>524</v>
      </c>
      <c r="D97" s="260" t="n">
        <v>6</v>
      </c>
      <c r="E97" s="260" t="n">
        <v>21.7</v>
      </c>
      <c r="F97" s="260" t="n">
        <v>130.2</v>
      </c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749</v>
      </c>
      <c r="C98" s="261" t="s">
        <v>524</v>
      </c>
      <c r="D98" s="262" t="n">
        <v>9</v>
      </c>
      <c r="E98" s="262" t="n">
        <v>30.1</v>
      </c>
      <c r="F98" s="262" t="n">
        <v>186.6</v>
      </c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2128</v>
      </c>
      <c r="C99" s="259" t="s">
        <v>3296</v>
      </c>
      <c r="D99" s="260" t="n">
        <v>4.5</v>
      </c>
      <c r="E99" s="260" t="n">
        <v>22.3</v>
      </c>
      <c r="F99" s="260" t="n">
        <v>133.8</v>
      </c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2723</v>
      </c>
      <c r="C100" s="261" t="s">
        <v>524</v>
      </c>
      <c r="D100" s="262" t="n">
        <v>5</v>
      </c>
      <c r="E100" s="262" t="n">
        <v>22.3</v>
      </c>
      <c r="F100" s="262" t="n">
        <v>133.8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2723</v>
      </c>
      <c r="C101" s="259" t="s">
        <v>524</v>
      </c>
      <c r="D101" s="260" t="n">
        <v>6</v>
      </c>
      <c r="E101" s="260" t="n">
        <v>26.4</v>
      </c>
      <c r="F101" s="260" t="n">
        <v>158.4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2723</v>
      </c>
      <c r="C102" s="261" t="s">
        <v>524</v>
      </c>
      <c r="D102" s="262" t="n">
        <v>9</v>
      </c>
      <c r="E102" s="262" t="n">
        <v>38.2</v>
      </c>
      <c r="F102" s="262" t="n">
        <v>229.2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2723</v>
      </c>
      <c r="C103" s="259" t="s">
        <v>524</v>
      </c>
      <c r="D103" s="260" t="n">
        <v>12</v>
      </c>
      <c r="E103" s="260" t="n">
        <v>49.1</v>
      </c>
      <c r="F103" s="260" t="n">
        <v>294.6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2143</v>
      </c>
      <c r="C104" s="261" t="s">
        <v>3307</v>
      </c>
      <c r="D104" s="262" t="n">
        <v>5</v>
      </c>
      <c r="E104" s="262" t="n">
        <v>26.2</v>
      </c>
      <c r="F104" s="262" t="n">
        <v>157.2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436</v>
      </c>
      <c r="C105" s="259" t="s">
        <v>524</v>
      </c>
      <c r="D105" s="260" t="n">
        <v>6</v>
      </c>
      <c r="E105" s="260" t="n">
        <v>31.1</v>
      </c>
      <c r="F105" s="260" t="n">
        <v>186.6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436</v>
      </c>
      <c r="C106" s="261" t="s">
        <v>524</v>
      </c>
      <c r="D106" s="262" t="n">
        <v>9</v>
      </c>
      <c r="E106" s="262" t="n">
        <v>45.3</v>
      </c>
      <c r="F106" s="262" t="n">
        <v>271.8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436</v>
      </c>
      <c r="C107" s="259" t="s">
        <v>524</v>
      </c>
      <c r="D107" s="260" t="n">
        <v>12</v>
      </c>
      <c r="E107" s="260" t="n">
        <v>58.5</v>
      </c>
      <c r="F107" s="260" t="n">
        <v>351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2149</v>
      </c>
      <c r="C108" s="261" t="s">
        <v>3317</v>
      </c>
      <c r="D108" s="262" t="n">
        <v>6</v>
      </c>
      <c r="E108" s="262" t="n">
        <v>35.8</v>
      </c>
      <c r="F108" s="262" t="n">
        <v>214.8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712</v>
      </c>
      <c r="C109" s="259" t="s">
        <v>524</v>
      </c>
      <c r="D109" s="260" t="n">
        <v>8</v>
      </c>
      <c r="E109" s="260" t="n">
        <v>46.9</v>
      </c>
      <c r="F109" s="260" t="n">
        <v>281.4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712</v>
      </c>
      <c r="C110" s="261" t="s">
        <v>524</v>
      </c>
      <c r="D110" s="262" t="n">
        <v>9</v>
      </c>
      <c r="E110" s="262" t="n">
        <v>52.3</v>
      </c>
      <c r="F110" s="262" t="n">
        <v>313.8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712</v>
      </c>
      <c r="C111" s="259" t="s">
        <v>524</v>
      </c>
      <c r="D111" s="260" t="n">
        <v>12</v>
      </c>
      <c r="E111" s="260" t="n">
        <v>67.9</v>
      </c>
      <c r="F111" s="260" t="n">
        <v>407.4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2176</v>
      </c>
      <c r="C112" s="261" t="s">
        <v>3330</v>
      </c>
      <c r="D112" s="262" t="n">
        <v>6</v>
      </c>
      <c r="E112" s="262" t="n">
        <v>45.2</v>
      </c>
      <c r="F112" s="262" t="n">
        <v>271.2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2737</v>
      </c>
      <c r="C113" s="259" t="s">
        <v>524</v>
      </c>
      <c r="D113" s="260" t="n">
        <v>8</v>
      </c>
      <c r="E113" s="260" t="n">
        <v>59.5</v>
      </c>
      <c r="F113" s="260" t="n">
        <v>357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2737</v>
      </c>
      <c r="C114" s="261" t="s">
        <v>524</v>
      </c>
      <c r="D114" s="262" t="n">
        <v>9</v>
      </c>
      <c r="E114" s="262" t="n">
        <v>66.5</v>
      </c>
      <c r="F114" s="262" t="n">
        <v>399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2737</v>
      </c>
      <c r="C115" s="259" t="s">
        <v>524</v>
      </c>
      <c r="D115" s="260" t="n">
        <v>12</v>
      </c>
      <c r="E115" s="260" t="n">
        <v>86.8</v>
      </c>
      <c r="F115" s="260" t="n">
        <v>520.8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2737</v>
      </c>
      <c r="C116" s="261" t="s">
        <v>524</v>
      </c>
      <c r="D116" s="262" t="n">
        <v>16</v>
      </c>
      <c r="E116" s="262" t="n">
        <v>112</v>
      </c>
      <c r="F116" s="262" t="n">
        <v>672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3346</v>
      </c>
      <c r="C117" s="259" t="s">
        <v>3075</v>
      </c>
      <c r="D117" s="260" t="n">
        <v>6</v>
      </c>
      <c r="E117" s="260" t="n">
        <v>54.7</v>
      </c>
      <c r="F117" s="260" t="n">
        <v>328.2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729</v>
      </c>
      <c r="C118" s="261" t="s">
        <v>524</v>
      </c>
      <c r="D118" s="262" t="n">
        <v>9</v>
      </c>
      <c r="E118" s="262" t="n">
        <v>80.6</v>
      </c>
      <c r="F118" s="262" t="n">
        <v>483.6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729</v>
      </c>
      <c r="C119" s="259" t="s">
        <v>524</v>
      </c>
      <c r="D119" s="260" t="n">
        <v>12</v>
      </c>
      <c r="E119" s="260" t="n">
        <v>106</v>
      </c>
      <c r="F119" s="260" t="n">
        <v>636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729</v>
      </c>
      <c r="C120" s="261" t="s">
        <v>524</v>
      </c>
      <c r="D120" s="262" t="n">
        <v>16</v>
      </c>
      <c r="E120" s="262" t="n">
        <v>138</v>
      </c>
      <c r="F120" s="262" t="n">
        <v>828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3358</v>
      </c>
      <c r="C121" s="259" t="s">
        <v>3359</v>
      </c>
      <c r="D121" s="260" t="n">
        <v>9</v>
      </c>
      <c r="E121" s="260" t="n">
        <v>94.7</v>
      </c>
      <c r="F121" s="260" t="n">
        <v>568.2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457</v>
      </c>
      <c r="C122" s="261" t="s">
        <v>524</v>
      </c>
      <c r="D122" s="262" t="n">
        <v>12</v>
      </c>
      <c r="E122" s="262" t="n">
        <v>124</v>
      </c>
      <c r="F122" s="262" t="n">
        <v>744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457</v>
      </c>
      <c r="C123" s="259" t="s">
        <v>524</v>
      </c>
      <c r="D123" s="260" t="n">
        <v>16</v>
      </c>
      <c r="E123" s="260" t="n">
        <v>163</v>
      </c>
      <c r="F123" s="260" t="n">
        <v>978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457</v>
      </c>
      <c r="C124" s="261" t="s">
        <v>524</v>
      </c>
      <c r="D124" s="262" t="n">
        <v>19</v>
      </c>
      <c r="E124" s="262" t="n">
        <v>190</v>
      </c>
      <c r="F124" s="262" t="n">
        <v>1140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3371</v>
      </c>
      <c r="C125" s="259" t="s">
        <v>3086</v>
      </c>
      <c r="D125" s="260" t="n">
        <v>9</v>
      </c>
      <c r="E125" s="260" t="n">
        <v>109</v>
      </c>
      <c r="F125" s="260" t="n">
        <v>654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408</v>
      </c>
      <c r="C126" s="261" t="s">
        <v>524</v>
      </c>
      <c r="D126" s="262" t="n">
        <v>12</v>
      </c>
      <c r="E126" s="262" t="n">
        <v>143</v>
      </c>
      <c r="F126" s="262" t="n">
        <v>858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59" t="s">
        <v>408</v>
      </c>
      <c r="C127" s="259" t="s">
        <v>524</v>
      </c>
      <c r="D127" s="260" t="n">
        <v>16</v>
      </c>
      <c r="E127" s="260" t="n">
        <v>188</v>
      </c>
      <c r="F127" s="260" t="n">
        <v>1128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1" t="s">
        <v>408</v>
      </c>
      <c r="C128" s="261" t="s">
        <v>524</v>
      </c>
      <c r="D128" s="262" t="n">
        <v>19</v>
      </c>
      <c r="E128" s="262" t="n">
        <v>220</v>
      </c>
      <c r="F128" s="262" t="n">
        <v>1320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1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7.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120" hidden="false" customHeight="true" outlineLevel="0" collapsed="false">
      <c r="A131" s="2"/>
      <c r="B131" s="255" t="s">
        <v>3383</v>
      </c>
      <c r="C131" s="255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"/>
      <c r="P131" s="2"/>
    </row>
    <row r="132" customFormat="false" ht="105" hidden="false" customHeight="true" outlineLevel="0" collapsed="false">
      <c r="A132" s="2"/>
      <c r="B132" s="255" t="s">
        <v>1279</v>
      </c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"/>
      <c r="P132" s="2"/>
    </row>
  </sheetData>
  <autoFilter ref="B5:F132"/>
  <mergeCells count="5">
    <mergeCell ref="B2:P2"/>
    <mergeCell ref="B3:P3"/>
    <mergeCell ref="B5:F5"/>
    <mergeCell ref="B131:N131"/>
    <mergeCell ref="B132:N132"/>
  </mergeCells>
  <conditionalFormatting sqref="E7:E132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{8F13391E-DD50-4B56-9DD3-1F4B7E529BFF}</x14:id>
        </ext>
      </extLst>
    </cfRule>
  </conditionalFormatting>
  <conditionalFormatting sqref="F7:F132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{51FFFCCA-DEFA-4D22-BA45-ADA76AEF1F92}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13391E-DD50-4B56-9DD3-1F4B7E529BF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E7:E132</xm:sqref>
        </x14:conditionalFormatting>
        <x14:conditionalFormatting xmlns:xm="http://schemas.microsoft.com/office/excel/2006/main">
          <x14:cfRule type="dataBar" id="{51FFFCCA-DEFA-4D22-BA45-ADA76AEF1F92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F7:F132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A2A"/>
    <pageSetUpPr fitToPage="false"/>
  </sheetPr>
  <dimension ref="A1:P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14"/>
    <col collapsed="false" customWidth="true" hidden="false" outlineLevel="0" max="6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5916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3067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3385</v>
      </c>
      <c r="C5" s="257"/>
      <c r="D5" s="257"/>
      <c r="E5" s="257"/>
      <c r="F5" s="257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3386</v>
      </c>
      <c r="C6" s="258" t="s">
        <v>3387</v>
      </c>
      <c r="D6" s="258" t="s">
        <v>3388</v>
      </c>
      <c r="E6" s="258" t="s">
        <v>2196</v>
      </c>
      <c r="F6" s="258" t="s">
        <v>2197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3390</v>
      </c>
      <c r="C7" s="259" t="s">
        <v>3391</v>
      </c>
      <c r="D7" s="260" t="n">
        <v>1</v>
      </c>
      <c r="E7" s="260" t="n">
        <v>0.401</v>
      </c>
      <c r="F7" s="260" t="n">
        <v>2.406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580</v>
      </c>
      <c r="C8" s="261" t="s">
        <v>1929</v>
      </c>
      <c r="D8" s="262" t="n">
        <v>1.2</v>
      </c>
      <c r="E8" s="262" t="n">
        <v>0.473</v>
      </c>
      <c r="F8" s="262" t="n">
        <v>2.838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580</v>
      </c>
      <c r="C9" s="259" t="s">
        <v>1929</v>
      </c>
      <c r="D9" s="260" t="n">
        <v>1.6</v>
      </c>
      <c r="E9" s="260" t="n">
        <v>0.606</v>
      </c>
      <c r="F9" s="260" t="n">
        <v>3.636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3401</v>
      </c>
      <c r="C10" s="261" t="s">
        <v>3402</v>
      </c>
      <c r="D10" s="262" t="n">
        <v>1</v>
      </c>
      <c r="E10" s="262" t="n">
        <v>0.543</v>
      </c>
      <c r="F10" s="262" t="n">
        <v>3.258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2168</v>
      </c>
      <c r="C11" s="259" t="s">
        <v>627</v>
      </c>
      <c r="D11" s="260" t="n">
        <v>1.2</v>
      </c>
      <c r="E11" s="260" t="n">
        <v>0.642</v>
      </c>
      <c r="F11" s="260" t="n">
        <v>3.852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2168</v>
      </c>
      <c r="C12" s="261" t="s">
        <v>627</v>
      </c>
      <c r="D12" s="262" t="n">
        <v>1.6</v>
      </c>
      <c r="E12" s="262" t="n">
        <v>0.832</v>
      </c>
      <c r="F12" s="262" t="n">
        <v>4.992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3412</v>
      </c>
      <c r="C13" s="259" t="s">
        <v>3413</v>
      </c>
      <c r="D13" s="260" t="n">
        <v>1</v>
      </c>
      <c r="E13" s="260" t="n">
        <v>0.716</v>
      </c>
      <c r="F13" s="260" t="n">
        <v>4.296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982</v>
      </c>
      <c r="C14" s="261" t="s">
        <v>2081</v>
      </c>
      <c r="D14" s="262" t="n">
        <v>1.2</v>
      </c>
      <c r="E14" s="262" t="n">
        <v>0.849</v>
      </c>
      <c r="F14" s="262" t="n">
        <v>5.094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982</v>
      </c>
      <c r="C15" s="259" t="s">
        <v>2081</v>
      </c>
      <c r="D15" s="260" t="n">
        <v>1.6</v>
      </c>
      <c r="E15" s="260" t="n">
        <v>1.11</v>
      </c>
      <c r="F15" s="260" t="n">
        <v>6.66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3423</v>
      </c>
      <c r="C16" s="261" t="s">
        <v>3424</v>
      </c>
      <c r="D16" s="262" t="n">
        <v>1</v>
      </c>
      <c r="E16" s="262" t="n">
        <v>0.766</v>
      </c>
      <c r="F16" s="262" t="n">
        <v>4.596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3161</v>
      </c>
      <c r="C17" s="259" t="s">
        <v>627</v>
      </c>
      <c r="D17" s="260" t="n">
        <v>1.2</v>
      </c>
      <c r="E17" s="260" t="n">
        <v>0.912</v>
      </c>
      <c r="F17" s="260" t="n">
        <v>5.472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3161</v>
      </c>
      <c r="C18" s="261" t="s">
        <v>627</v>
      </c>
      <c r="D18" s="262" t="n">
        <v>1.6</v>
      </c>
      <c r="E18" s="262" t="n">
        <v>1.196</v>
      </c>
      <c r="F18" s="262" t="n">
        <v>7.176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3434</v>
      </c>
      <c r="C19" s="259" t="s">
        <v>3435</v>
      </c>
      <c r="D19" s="260" t="n">
        <v>1</v>
      </c>
      <c r="E19" s="260" t="n">
        <v>0.857</v>
      </c>
      <c r="F19" s="260" t="n">
        <v>5.142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3161</v>
      </c>
      <c r="C20" s="261" t="s">
        <v>580</v>
      </c>
      <c r="D20" s="262" t="n">
        <v>1.2</v>
      </c>
      <c r="E20" s="262" t="n">
        <v>1.02</v>
      </c>
      <c r="F20" s="262" t="n">
        <v>6.12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3161</v>
      </c>
      <c r="C21" s="259" t="s">
        <v>580</v>
      </c>
      <c r="D21" s="260" t="n">
        <v>1.6</v>
      </c>
      <c r="E21" s="260" t="n">
        <v>1.34</v>
      </c>
      <c r="F21" s="260" t="n">
        <v>7.98</v>
      </c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3441</v>
      </c>
      <c r="C22" s="261" t="s">
        <v>3442</v>
      </c>
      <c r="D22" s="262" t="n">
        <v>1</v>
      </c>
      <c r="E22" s="262" t="n">
        <v>0.951</v>
      </c>
      <c r="F22" s="262" t="n">
        <v>5.706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3161</v>
      </c>
      <c r="C23" s="259" t="s">
        <v>2168</v>
      </c>
      <c r="D23" s="260" t="n">
        <v>1.2</v>
      </c>
      <c r="E23" s="260" t="n">
        <v>1.13</v>
      </c>
      <c r="F23" s="260" t="n">
        <v>6.78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3161</v>
      </c>
      <c r="C24" s="261" t="s">
        <v>2168</v>
      </c>
      <c r="D24" s="262" t="n">
        <v>1.6</v>
      </c>
      <c r="E24" s="262" t="n">
        <v>1.49</v>
      </c>
      <c r="F24" s="262" t="n">
        <v>8.94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3450</v>
      </c>
      <c r="C25" s="259" t="s">
        <v>3451</v>
      </c>
      <c r="D25" s="260" t="n">
        <v>1.2</v>
      </c>
      <c r="E25" s="260" t="n">
        <v>1.36</v>
      </c>
      <c r="F25" s="260" t="n">
        <v>8.16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2699</v>
      </c>
      <c r="C26" s="261" t="s">
        <v>2168</v>
      </c>
      <c r="D26" s="262" t="n">
        <v>1.6</v>
      </c>
      <c r="E26" s="262" t="n">
        <v>1.79</v>
      </c>
      <c r="F26" s="262" t="n">
        <v>10.74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2699</v>
      </c>
      <c r="C27" s="259" t="s">
        <v>2168</v>
      </c>
      <c r="D27" s="260" t="n">
        <v>2.3</v>
      </c>
      <c r="E27" s="260" t="n">
        <v>2.51</v>
      </c>
      <c r="F27" s="260" t="n">
        <v>15.06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2699</v>
      </c>
      <c r="C28" s="261" t="s">
        <v>2168</v>
      </c>
      <c r="D28" s="262" t="n">
        <v>3</v>
      </c>
      <c r="E28" s="262" t="n">
        <v>3.19</v>
      </c>
      <c r="F28" s="262" t="n">
        <v>19.14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2699</v>
      </c>
      <c r="C29" s="259" t="s">
        <v>2168</v>
      </c>
      <c r="D29" s="260" t="n">
        <v>3.2</v>
      </c>
      <c r="E29" s="260" t="n">
        <v>3.38</v>
      </c>
      <c r="F29" s="260" t="n">
        <v>20.28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3461</v>
      </c>
      <c r="C30" s="261" t="s">
        <v>3462</v>
      </c>
      <c r="D30" s="262" t="n">
        <v>1.6</v>
      </c>
      <c r="E30" s="262" t="n">
        <v>2.49</v>
      </c>
      <c r="F30" s="262" t="n">
        <v>14.94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2704</v>
      </c>
      <c r="C31" s="259" t="s">
        <v>3161</v>
      </c>
      <c r="D31" s="260" t="n">
        <v>1.9</v>
      </c>
      <c r="E31" s="260" t="n">
        <v>2.88</v>
      </c>
      <c r="F31" s="260" t="n">
        <v>17.28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2704</v>
      </c>
      <c r="C32" s="261" t="s">
        <v>3161</v>
      </c>
      <c r="D32" s="262" t="n">
        <v>2.3</v>
      </c>
      <c r="E32" s="262" t="n">
        <v>3.52</v>
      </c>
      <c r="F32" s="262" t="n">
        <v>21.12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2704</v>
      </c>
      <c r="C33" s="259" t="s">
        <v>3161</v>
      </c>
      <c r="D33" s="260" t="n">
        <v>3</v>
      </c>
      <c r="E33" s="260" t="n">
        <v>4.39</v>
      </c>
      <c r="F33" s="260" t="n">
        <v>26.34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2704</v>
      </c>
      <c r="C34" s="261" t="s">
        <v>3161</v>
      </c>
      <c r="D34" s="262" t="n">
        <v>3.2</v>
      </c>
      <c r="E34" s="262" t="n">
        <v>4.65</v>
      </c>
      <c r="F34" s="262" t="n">
        <v>27.9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2704</v>
      </c>
      <c r="C35" s="259" t="s">
        <v>3161</v>
      </c>
      <c r="D35" s="260" t="n">
        <v>4</v>
      </c>
      <c r="E35" s="260" t="n">
        <v>5.64</v>
      </c>
      <c r="F35" s="260" t="n">
        <v>33.84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3477</v>
      </c>
      <c r="C36" s="261" t="s">
        <v>3478</v>
      </c>
      <c r="D36" s="262" t="n">
        <v>1.6</v>
      </c>
      <c r="E36" s="262" t="n">
        <v>2.38</v>
      </c>
      <c r="F36" s="262" t="n">
        <v>14.28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3241</v>
      </c>
      <c r="C37" s="259" t="s">
        <v>2168</v>
      </c>
      <c r="D37" s="260" t="n">
        <v>1.9</v>
      </c>
      <c r="E37" s="260" t="n">
        <v>2.8</v>
      </c>
      <c r="F37" s="260" t="n">
        <v>16.8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3483</v>
      </c>
      <c r="C38" s="261" t="s">
        <v>3484</v>
      </c>
      <c r="D38" s="262" t="n">
        <v>2.3</v>
      </c>
      <c r="E38" s="262" t="n">
        <v>3.34</v>
      </c>
      <c r="F38" s="262" t="n">
        <v>20.04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3241</v>
      </c>
      <c r="C39" s="259" t="s">
        <v>3161</v>
      </c>
      <c r="D39" s="260" t="n">
        <v>3</v>
      </c>
      <c r="E39" s="260" t="n">
        <v>4.25</v>
      </c>
      <c r="F39" s="260" t="n">
        <v>25.5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3241</v>
      </c>
      <c r="C40" s="261" t="s">
        <v>3161</v>
      </c>
      <c r="D40" s="262" t="n">
        <v>4</v>
      </c>
      <c r="E40" s="262" t="n">
        <v>5.45</v>
      </c>
      <c r="F40" s="262" t="n">
        <v>32.7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3241</v>
      </c>
      <c r="C41" s="259" t="s">
        <v>3161</v>
      </c>
      <c r="D41" s="260" t="n">
        <v>4.5</v>
      </c>
      <c r="E41" s="260" t="n">
        <v>6.02</v>
      </c>
      <c r="F41" s="260" t="n">
        <v>36.12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3483</v>
      </c>
      <c r="C42" s="261" t="s">
        <v>3484</v>
      </c>
      <c r="D42" s="262" t="n">
        <v>1.6</v>
      </c>
      <c r="E42" s="262" t="n">
        <v>2.71</v>
      </c>
      <c r="F42" s="262" t="n">
        <v>16.26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3241</v>
      </c>
      <c r="C43" s="259" t="s">
        <v>3161</v>
      </c>
      <c r="D43" s="260" t="n">
        <v>1.9</v>
      </c>
      <c r="E43" s="260" t="n">
        <v>3.18</v>
      </c>
      <c r="F43" s="260" t="n">
        <v>19.08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3241</v>
      </c>
      <c r="C44" s="261" t="s">
        <v>3161</v>
      </c>
      <c r="D44" s="262" t="n">
        <v>2.3</v>
      </c>
      <c r="E44" s="262" t="n">
        <v>3.81</v>
      </c>
      <c r="F44" s="262" t="n">
        <v>22.86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3241</v>
      </c>
      <c r="C45" s="259" t="s">
        <v>3161</v>
      </c>
      <c r="D45" s="260" t="n">
        <v>3</v>
      </c>
      <c r="E45" s="260" t="n">
        <v>4.86</v>
      </c>
      <c r="F45" s="260" t="n">
        <v>29.16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3241</v>
      </c>
      <c r="C46" s="261" t="s">
        <v>3161</v>
      </c>
      <c r="D46" s="262" t="n">
        <v>3.2</v>
      </c>
      <c r="E46" s="262" t="n">
        <v>5.15</v>
      </c>
      <c r="F46" s="262" t="n">
        <v>30.9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3241</v>
      </c>
      <c r="C47" s="259" t="s">
        <v>3161</v>
      </c>
      <c r="D47" s="260" t="n">
        <v>4</v>
      </c>
      <c r="E47" s="260" t="n">
        <v>6.27</v>
      </c>
      <c r="F47" s="260" t="n">
        <v>37.62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3241</v>
      </c>
      <c r="C48" s="261" t="s">
        <v>3161</v>
      </c>
      <c r="D48" s="262" t="n">
        <v>4.5</v>
      </c>
      <c r="E48" s="262" t="n">
        <v>6.94</v>
      </c>
      <c r="F48" s="262" t="n">
        <v>41.64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2216</v>
      </c>
      <c r="C49" s="259" t="s">
        <v>3507</v>
      </c>
      <c r="D49" s="260" t="n">
        <v>1.9</v>
      </c>
      <c r="E49" s="260" t="n">
        <v>3.54</v>
      </c>
      <c r="F49" s="260" t="n">
        <v>21.24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3241</v>
      </c>
      <c r="C50" s="261" t="s">
        <v>2699</v>
      </c>
      <c r="D50" s="262" t="n">
        <v>2.3</v>
      </c>
      <c r="E50" s="262" t="n">
        <v>4.24</v>
      </c>
      <c r="F50" s="262" t="n">
        <v>25.44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3241</v>
      </c>
      <c r="C51" s="259" t="s">
        <v>2699</v>
      </c>
      <c r="D51" s="260" t="n">
        <v>3</v>
      </c>
      <c r="E51" s="260" t="n">
        <v>5.42</v>
      </c>
      <c r="F51" s="260" t="n">
        <v>32.52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3241</v>
      </c>
      <c r="C52" s="261" t="s">
        <v>2699</v>
      </c>
      <c r="D52" s="262" t="n">
        <v>3.2</v>
      </c>
      <c r="E52" s="262" t="n">
        <v>5.75</v>
      </c>
      <c r="F52" s="262" t="n">
        <v>34.5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3241</v>
      </c>
      <c r="C53" s="259" t="s">
        <v>2699</v>
      </c>
      <c r="D53" s="260" t="n">
        <v>4</v>
      </c>
      <c r="E53" s="260" t="n">
        <v>7.02</v>
      </c>
      <c r="F53" s="260" t="n">
        <v>42.12</v>
      </c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3241</v>
      </c>
      <c r="C54" s="261" t="s">
        <v>2699</v>
      </c>
      <c r="D54" s="262" t="n">
        <v>4.5</v>
      </c>
      <c r="E54" s="262" t="n">
        <v>7.79</v>
      </c>
      <c r="F54" s="262" t="n">
        <v>46.74</v>
      </c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3241</v>
      </c>
      <c r="C55" s="259" t="s">
        <v>2699</v>
      </c>
      <c r="D55" s="260" t="n">
        <v>5</v>
      </c>
      <c r="E55" s="260" t="n">
        <v>8.53</v>
      </c>
      <c r="F55" s="260" t="n">
        <v>51.18</v>
      </c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3241</v>
      </c>
      <c r="C56" s="261" t="s">
        <v>2699</v>
      </c>
      <c r="D56" s="262" t="n">
        <v>6</v>
      </c>
      <c r="E56" s="262" t="n">
        <v>9.92</v>
      </c>
      <c r="F56" s="262" t="n">
        <v>59.52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3528</v>
      </c>
      <c r="C57" s="259" t="s">
        <v>3529</v>
      </c>
      <c r="D57" s="260" t="n">
        <v>1.9</v>
      </c>
      <c r="E57" s="260" t="n">
        <v>4.29</v>
      </c>
      <c r="F57" s="260" t="n">
        <v>25.74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2717</v>
      </c>
      <c r="C58" s="261" t="s">
        <v>2699</v>
      </c>
      <c r="D58" s="262" t="n">
        <v>2.3</v>
      </c>
      <c r="E58" s="262" t="n">
        <v>5.14</v>
      </c>
      <c r="F58" s="262" t="n">
        <v>30.84</v>
      </c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2717</v>
      </c>
      <c r="C59" s="259" t="s">
        <v>2699</v>
      </c>
      <c r="D59" s="260" t="n">
        <v>3</v>
      </c>
      <c r="E59" s="260" t="n">
        <v>6.6</v>
      </c>
      <c r="F59" s="260" t="n">
        <v>39.6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2717</v>
      </c>
      <c r="C60" s="261" t="s">
        <v>2699</v>
      </c>
      <c r="D60" s="262" t="n">
        <v>3.2</v>
      </c>
      <c r="E60" s="262" t="n">
        <v>7.01</v>
      </c>
      <c r="F60" s="262" t="n">
        <v>42.06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2717</v>
      </c>
      <c r="C61" s="259" t="s">
        <v>2699</v>
      </c>
      <c r="D61" s="260" t="n">
        <v>4</v>
      </c>
      <c r="E61" s="260" t="n">
        <v>8.6</v>
      </c>
      <c r="F61" s="260" t="n">
        <v>51.6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2717</v>
      </c>
      <c r="C62" s="261" t="s">
        <v>2699</v>
      </c>
      <c r="D62" s="262" t="n">
        <v>4.5</v>
      </c>
      <c r="E62" s="262" t="n">
        <v>9.55</v>
      </c>
      <c r="F62" s="262" t="n">
        <v>57.3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2717</v>
      </c>
      <c r="C63" s="259" t="s">
        <v>2699</v>
      </c>
      <c r="D63" s="260" t="n">
        <v>5</v>
      </c>
      <c r="E63" s="260" t="n">
        <v>10.5</v>
      </c>
      <c r="F63" s="260" t="n">
        <v>63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2717</v>
      </c>
      <c r="C64" s="261" t="s">
        <v>2699</v>
      </c>
      <c r="D64" s="262" t="n">
        <v>6</v>
      </c>
      <c r="E64" s="262" t="n">
        <v>12.3</v>
      </c>
      <c r="F64" s="262" t="n">
        <v>73.8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2244</v>
      </c>
      <c r="C65" s="259" t="s">
        <v>3540</v>
      </c>
      <c r="D65" s="260" t="n">
        <v>3</v>
      </c>
      <c r="E65" s="260" t="n">
        <v>7.78</v>
      </c>
      <c r="F65" s="260" t="n">
        <v>46.68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2717</v>
      </c>
      <c r="C66" s="261" t="s">
        <v>3241</v>
      </c>
      <c r="D66" s="262" t="n">
        <v>3.2</v>
      </c>
      <c r="E66" s="262" t="n">
        <v>8.26</v>
      </c>
      <c r="F66" s="262" t="n">
        <v>49.56</v>
      </c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2717</v>
      </c>
      <c r="C67" s="259" t="s">
        <v>3241</v>
      </c>
      <c r="D67" s="260" t="n">
        <v>4</v>
      </c>
      <c r="E67" s="260" t="n">
        <v>10.2</v>
      </c>
      <c r="F67" s="260" t="n">
        <v>61.2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2717</v>
      </c>
      <c r="C68" s="261" t="s">
        <v>3241</v>
      </c>
      <c r="D68" s="262" t="n">
        <v>4.5</v>
      </c>
      <c r="E68" s="262" t="n">
        <v>11.3</v>
      </c>
      <c r="F68" s="262" t="n">
        <v>67.8</v>
      </c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2717</v>
      </c>
      <c r="C69" s="259" t="s">
        <v>3241</v>
      </c>
      <c r="D69" s="260" t="n">
        <v>5</v>
      </c>
      <c r="E69" s="260" t="n">
        <v>12.5</v>
      </c>
      <c r="F69" s="260" t="n">
        <v>75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2717</v>
      </c>
      <c r="C70" s="261" t="s">
        <v>3241</v>
      </c>
      <c r="D70" s="262" t="n">
        <v>6</v>
      </c>
      <c r="E70" s="262" t="n">
        <v>14.6</v>
      </c>
      <c r="F70" s="262" t="n">
        <v>87.6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3550</v>
      </c>
      <c r="C71" s="259" t="s">
        <v>3551</v>
      </c>
      <c r="D71" s="260" t="n">
        <v>3</v>
      </c>
      <c r="E71" s="260" t="n">
        <v>8.96</v>
      </c>
      <c r="F71" s="260" t="n">
        <v>53.76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749</v>
      </c>
      <c r="C72" s="261" t="s">
        <v>2699</v>
      </c>
      <c r="D72" s="262" t="n">
        <v>3.2</v>
      </c>
      <c r="E72" s="262" t="n">
        <v>9.52</v>
      </c>
      <c r="F72" s="262" t="n">
        <v>57.12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749</v>
      </c>
      <c r="C73" s="259" t="s">
        <v>2699</v>
      </c>
      <c r="D73" s="260" t="n">
        <v>4</v>
      </c>
      <c r="E73" s="260" t="n">
        <v>11.7</v>
      </c>
      <c r="F73" s="260" t="n">
        <v>70.2</v>
      </c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749</v>
      </c>
      <c r="C74" s="261" t="s">
        <v>2699</v>
      </c>
      <c r="D74" s="262" t="n">
        <v>4.5</v>
      </c>
      <c r="E74" s="262" t="n">
        <v>13.1</v>
      </c>
      <c r="F74" s="262" t="n">
        <v>78.6</v>
      </c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749</v>
      </c>
      <c r="C75" s="259" t="s">
        <v>2699</v>
      </c>
      <c r="D75" s="260" t="n">
        <v>5</v>
      </c>
      <c r="E75" s="260" t="n">
        <v>14.4</v>
      </c>
      <c r="F75" s="260" t="n">
        <v>86.4</v>
      </c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749</v>
      </c>
      <c r="C76" s="261" t="s">
        <v>2699</v>
      </c>
      <c r="D76" s="262" t="n">
        <v>6</v>
      </c>
      <c r="E76" s="262" t="n">
        <v>17</v>
      </c>
      <c r="F76" s="262" t="n">
        <v>102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2267</v>
      </c>
      <c r="C77" s="259" t="s">
        <v>3558</v>
      </c>
      <c r="D77" s="260" t="n">
        <v>3</v>
      </c>
      <c r="E77" s="260" t="n">
        <v>8.96</v>
      </c>
      <c r="F77" s="260" t="n">
        <v>53.76</v>
      </c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749</v>
      </c>
      <c r="C78" s="261" t="s">
        <v>3241</v>
      </c>
      <c r="D78" s="262" t="n">
        <v>3.2</v>
      </c>
      <c r="E78" s="262" t="n">
        <v>9.52</v>
      </c>
      <c r="F78" s="262" t="n">
        <v>57.12</v>
      </c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749</v>
      </c>
      <c r="C79" s="259" t="s">
        <v>3241</v>
      </c>
      <c r="D79" s="260" t="n">
        <v>4</v>
      </c>
      <c r="E79" s="260" t="n">
        <v>11.7</v>
      </c>
      <c r="F79" s="260" t="n">
        <v>70.2</v>
      </c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749</v>
      </c>
      <c r="C80" s="261" t="s">
        <v>3241</v>
      </c>
      <c r="D80" s="262" t="n">
        <v>4.5</v>
      </c>
      <c r="E80" s="262" t="n">
        <v>13.1</v>
      </c>
      <c r="F80" s="262" t="n">
        <v>78.6</v>
      </c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749</v>
      </c>
      <c r="C81" s="259" t="s">
        <v>3241</v>
      </c>
      <c r="D81" s="260" t="n">
        <v>5</v>
      </c>
      <c r="E81" s="260" t="n">
        <v>14.8</v>
      </c>
      <c r="F81" s="260" t="n">
        <v>88.8</v>
      </c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749</v>
      </c>
      <c r="C82" s="261" t="s">
        <v>3241</v>
      </c>
      <c r="D82" s="262" t="n">
        <v>6</v>
      </c>
      <c r="E82" s="262" t="n">
        <v>17</v>
      </c>
      <c r="F82" s="262" t="n">
        <v>102</v>
      </c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3566</v>
      </c>
      <c r="C83" s="259" t="s">
        <v>3567</v>
      </c>
      <c r="D83" s="260" t="n">
        <v>3</v>
      </c>
      <c r="E83" s="260" t="n">
        <v>10.1</v>
      </c>
      <c r="F83" s="260" t="n">
        <v>60.6</v>
      </c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2723</v>
      </c>
      <c r="C84" s="261" t="s">
        <v>2699</v>
      </c>
      <c r="D84" s="262" t="n">
        <v>3.2</v>
      </c>
      <c r="E84" s="262" t="n">
        <v>10.8</v>
      </c>
      <c r="F84" s="262" t="n">
        <v>64.8</v>
      </c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2723</v>
      </c>
      <c r="C85" s="259" t="s">
        <v>2699</v>
      </c>
      <c r="D85" s="260" t="n">
        <v>4</v>
      </c>
      <c r="E85" s="260" t="n">
        <v>13.3</v>
      </c>
      <c r="F85" s="260" t="n">
        <v>79.8</v>
      </c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2723</v>
      </c>
      <c r="C86" s="261" t="s">
        <v>2699</v>
      </c>
      <c r="D86" s="262" t="n">
        <v>4.5</v>
      </c>
      <c r="E86" s="262" t="n">
        <v>14.9</v>
      </c>
      <c r="F86" s="262" t="n">
        <v>89.4</v>
      </c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2723</v>
      </c>
      <c r="C87" s="259" t="s">
        <v>2699</v>
      </c>
      <c r="D87" s="260" t="n">
        <v>5</v>
      </c>
      <c r="E87" s="260" t="n">
        <v>16.4</v>
      </c>
      <c r="F87" s="260" t="n">
        <v>98.4</v>
      </c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2723</v>
      </c>
      <c r="C88" s="261" t="s">
        <v>2699</v>
      </c>
      <c r="D88" s="262" t="n">
        <v>6</v>
      </c>
      <c r="E88" s="262" t="n">
        <v>19.3</v>
      </c>
      <c r="F88" s="262" t="n">
        <v>115.8</v>
      </c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2723</v>
      </c>
      <c r="C89" s="259" t="s">
        <v>2699</v>
      </c>
      <c r="D89" s="260" t="n">
        <v>9</v>
      </c>
      <c r="E89" s="260" t="n">
        <v>27.6</v>
      </c>
      <c r="F89" s="260" t="n">
        <v>165.6</v>
      </c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2275</v>
      </c>
      <c r="C90" s="261" t="s">
        <v>3581</v>
      </c>
      <c r="D90" s="262" t="n">
        <v>3</v>
      </c>
      <c r="E90" s="262" t="n">
        <v>10.1</v>
      </c>
      <c r="F90" s="262" t="n">
        <v>60.6</v>
      </c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2723</v>
      </c>
      <c r="C91" s="259" t="s">
        <v>3241</v>
      </c>
      <c r="D91" s="260" t="n">
        <v>3.2</v>
      </c>
      <c r="E91" s="260" t="n">
        <v>10.8</v>
      </c>
      <c r="F91" s="260" t="n">
        <v>64.8</v>
      </c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2723</v>
      </c>
      <c r="C92" s="261" t="s">
        <v>3241</v>
      </c>
      <c r="D92" s="262" t="n">
        <v>4</v>
      </c>
      <c r="E92" s="262" t="n">
        <v>13.3</v>
      </c>
      <c r="F92" s="262" t="n">
        <v>79.8</v>
      </c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2723</v>
      </c>
      <c r="C93" s="259" t="s">
        <v>3241</v>
      </c>
      <c r="D93" s="260" t="n">
        <v>4.5</v>
      </c>
      <c r="E93" s="260" t="n">
        <v>14.9</v>
      </c>
      <c r="F93" s="260" t="n">
        <v>89.4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2723</v>
      </c>
      <c r="C94" s="261" t="s">
        <v>3241</v>
      </c>
      <c r="D94" s="262" t="n">
        <v>5</v>
      </c>
      <c r="E94" s="262" t="n">
        <v>16.4</v>
      </c>
      <c r="F94" s="262" t="n">
        <v>98.4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2723</v>
      </c>
      <c r="C95" s="259" t="s">
        <v>3241</v>
      </c>
      <c r="D95" s="260" t="n">
        <v>6</v>
      </c>
      <c r="E95" s="260" t="n">
        <v>19.3</v>
      </c>
      <c r="F95" s="260" t="n">
        <v>115.8</v>
      </c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2723</v>
      </c>
      <c r="C96" s="261" t="s">
        <v>3241</v>
      </c>
      <c r="D96" s="262" t="n">
        <v>9</v>
      </c>
      <c r="E96" s="262" t="n">
        <v>27.6</v>
      </c>
      <c r="F96" s="262" t="n">
        <v>165.6</v>
      </c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2298</v>
      </c>
      <c r="C97" s="259" t="s">
        <v>3589</v>
      </c>
      <c r="D97" s="260" t="n">
        <v>4.5</v>
      </c>
      <c r="E97" s="260" t="n">
        <v>20.1</v>
      </c>
      <c r="F97" s="260" t="n">
        <v>120.6</v>
      </c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2723</v>
      </c>
      <c r="C98" s="261" t="s">
        <v>2717</v>
      </c>
      <c r="D98" s="262" t="n">
        <v>5</v>
      </c>
      <c r="E98" s="262" t="n">
        <v>20.1</v>
      </c>
      <c r="F98" s="262" t="n">
        <v>120.6</v>
      </c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2723</v>
      </c>
      <c r="C99" s="259" t="s">
        <v>2717</v>
      </c>
      <c r="D99" s="260" t="n">
        <v>6</v>
      </c>
      <c r="E99" s="260" t="n">
        <v>26.4</v>
      </c>
      <c r="F99" s="260" t="n">
        <v>158.4</v>
      </c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2723</v>
      </c>
      <c r="C100" s="261" t="s">
        <v>2717</v>
      </c>
      <c r="D100" s="262" t="n">
        <v>9</v>
      </c>
      <c r="E100" s="262" t="n">
        <v>38.2</v>
      </c>
      <c r="F100" s="262" t="n">
        <v>229.2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2723</v>
      </c>
      <c r="C101" s="259" t="s">
        <v>2717</v>
      </c>
      <c r="D101" s="260" t="n">
        <v>12</v>
      </c>
      <c r="E101" s="260" t="n">
        <v>49.1</v>
      </c>
      <c r="F101" s="260" t="n">
        <v>294.6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2329</v>
      </c>
      <c r="C102" s="261" t="s">
        <v>3595</v>
      </c>
      <c r="D102" s="262" t="n">
        <v>4</v>
      </c>
      <c r="E102" s="262" t="n">
        <v>18</v>
      </c>
      <c r="F102" s="262" t="n">
        <v>108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712</v>
      </c>
      <c r="C103" s="259" t="s">
        <v>2717</v>
      </c>
      <c r="D103" s="260" t="n">
        <v>4.5</v>
      </c>
      <c r="E103" s="260" t="n">
        <v>20.2</v>
      </c>
      <c r="F103" s="260" t="n">
        <v>121.2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712</v>
      </c>
      <c r="C104" s="261" t="s">
        <v>2717</v>
      </c>
      <c r="D104" s="262" t="n">
        <v>5</v>
      </c>
      <c r="E104" s="262" t="n">
        <v>22.3</v>
      </c>
      <c r="F104" s="262" t="n">
        <v>133.8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712</v>
      </c>
      <c r="C105" s="259" t="s">
        <v>2717</v>
      </c>
      <c r="D105" s="260" t="n">
        <v>6</v>
      </c>
      <c r="E105" s="260" t="n">
        <v>26.4</v>
      </c>
      <c r="F105" s="260" t="n">
        <v>158.4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712</v>
      </c>
      <c r="C106" s="261" t="s">
        <v>2717</v>
      </c>
      <c r="D106" s="262" t="n">
        <v>9</v>
      </c>
      <c r="E106" s="262" t="n">
        <v>38.2</v>
      </c>
      <c r="F106" s="262" t="n">
        <v>229.2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712</v>
      </c>
      <c r="C107" s="259" t="s">
        <v>2717</v>
      </c>
      <c r="D107" s="260" t="n">
        <v>12</v>
      </c>
      <c r="E107" s="260" t="n">
        <v>49.1</v>
      </c>
      <c r="F107" s="260" t="n">
        <v>294.6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3605</v>
      </c>
      <c r="C108" s="261" t="s">
        <v>3606</v>
      </c>
      <c r="D108" s="262" t="n">
        <v>6</v>
      </c>
      <c r="E108" s="262" t="n">
        <v>35.8</v>
      </c>
      <c r="F108" s="262" t="n">
        <v>214.8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2737</v>
      </c>
      <c r="C109" s="259" t="s">
        <v>2723</v>
      </c>
      <c r="D109" s="260" t="n">
        <v>9</v>
      </c>
      <c r="E109" s="260" t="n">
        <v>52.3</v>
      </c>
      <c r="F109" s="260" t="n">
        <v>313.8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2737</v>
      </c>
      <c r="C110" s="261" t="s">
        <v>2723</v>
      </c>
      <c r="D110" s="262" t="n">
        <v>12</v>
      </c>
      <c r="E110" s="262" t="n">
        <v>67.9</v>
      </c>
      <c r="F110" s="262" t="n">
        <v>407.4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3610</v>
      </c>
      <c r="C111" s="259" t="s">
        <v>3611</v>
      </c>
      <c r="D111" s="260" t="n">
        <v>6</v>
      </c>
      <c r="E111" s="260" t="n">
        <v>45.2</v>
      </c>
      <c r="F111" s="260" t="n">
        <v>271.2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729</v>
      </c>
      <c r="C112" s="261" t="s">
        <v>712</v>
      </c>
      <c r="D112" s="262" t="n">
        <v>9</v>
      </c>
      <c r="E112" s="262" t="n">
        <v>66.5</v>
      </c>
      <c r="F112" s="262" t="n">
        <v>399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729</v>
      </c>
      <c r="C113" s="259" t="s">
        <v>712</v>
      </c>
      <c r="D113" s="260" t="n">
        <v>12</v>
      </c>
      <c r="E113" s="260" t="n">
        <v>86.8</v>
      </c>
      <c r="F113" s="260" t="n">
        <v>520.8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729</v>
      </c>
      <c r="C114" s="261" t="s">
        <v>712</v>
      </c>
      <c r="D114" s="262" t="n">
        <v>16</v>
      </c>
      <c r="E114" s="262" t="n">
        <v>112</v>
      </c>
      <c r="F114" s="262" t="n">
        <v>672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3616</v>
      </c>
      <c r="C115" s="259" t="s">
        <v>3617</v>
      </c>
      <c r="D115" s="260" t="n">
        <v>6</v>
      </c>
      <c r="E115" s="260" t="n">
        <v>54.7</v>
      </c>
      <c r="F115" s="260" t="n">
        <v>328.2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457</v>
      </c>
      <c r="C116" s="261" t="s">
        <v>2737</v>
      </c>
      <c r="D116" s="262" t="n">
        <v>9</v>
      </c>
      <c r="E116" s="262" t="n">
        <v>80.6</v>
      </c>
      <c r="F116" s="262" t="n">
        <v>483.6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457</v>
      </c>
      <c r="C117" s="259" t="s">
        <v>2737</v>
      </c>
      <c r="D117" s="260" t="n">
        <v>12</v>
      </c>
      <c r="E117" s="260" t="n">
        <v>106</v>
      </c>
      <c r="F117" s="260" t="n">
        <v>636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457</v>
      </c>
      <c r="C118" s="261" t="s">
        <v>2737</v>
      </c>
      <c r="D118" s="262" t="n">
        <v>16</v>
      </c>
      <c r="E118" s="262" t="n">
        <v>138</v>
      </c>
      <c r="F118" s="262" t="n">
        <v>828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3622</v>
      </c>
      <c r="C119" s="259" t="s">
        <v>3623</v>
      </c>
      <c r="D119" s="260" t="n">
        <v>9</v>
      </c>
      <c r="E119" s="260" t="n">
        <v>94.7</v>
      </c>
      <c r="F119" s="260" t="n">
        <v>568.2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408</v>
      </c>
      <c r="C120" s="261" t="s">
        <v>712</v>
      </c>
      <c r="D120" s="262" t="n">
        <v>12</v>
      </c>
      <c r="E120" s="262" t="n">
        <v>124</v>
      </c>
      <c r="F120" s="262" t="n">
        <v>744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408</v>
      </c>
      <c r="C121" s="259" t="s">
        <v>712</v>
      </c>
      <c r="D121" s="260" t="n">
        <v>16</v>
      </c>
      <c r="E121" s="260" t="n">
        <v>163</v>
      </c>
      <c r="F121" s="260" t="n">
        <v>978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408</v>
      </c>
      <c r="C122" s="261" t="s">
        <v>712</v>
      </c>
      <c r="D122" s="262" t="n">
        <v>19</v>
      </c>
      <c r="E122" s="262" t="n">
        <v>190</v>
      </c>
      <c r="F122" s="262" t="n">
        <v>1140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3628</v>
      </c>
      <c r="C123" s="259" t="s">
        <v>3629</v>
      </c>
      <c r="D123" s="260" t="n">
        <v>9</v>
      </c>
      <c r="E123" s="260" t="n">
        <v>109</v>
      </c>
      <c r="F123" s="260" t="n">
        <v>654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408</v>
      </c>
      <c r="C124" s="261" t="s">
        <v>729</v>
      </c>
      <c r="D124" s="262" t="n">
        <v>12</v>
      </c>
      <c r="E124" s="262" t="n">
        <v>143</v>
      </c>
      <c r="F124" s="262" t="n">
        <v>858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408</v>
      </c>
      <c r="C125" s="259" t="s">
        <v>729</v>
      </c>
      <c r="D125" s="260" t="n">
        <v>16</v>
      </c>
      <c r="E125" s="260" t="n">
        <v>188</v>
      </c>
      <c r="F125" s="260" t="n">
        <v>1128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408</v>
      </c>
      <c r="C126" s="261" t="s">
        <v>729</v>
      </c>
      <c r="D126" s="262" t="n">
        <v>19</v>
      </c>
      <c r="E126" s="262" t="n">
        <v>220</v>
      </c>
      <c r="F126" s="262" t="n">
        <v>1320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1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7.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120" hidden="false" customHeight="true" outlineLevel="0" collapsed="false">
      <c r="A129" s="2"/>
      <c r="B129" s="255" t="s">
        <v>3383</v>
      </c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"/>
      <c r="P129" s="2"/>
    </row>
    <row r="130" customFormat="false" ht="105" hidden="false" customHeight="true" outlineLevel="0" collapsed="false">
      <c r="A130" s="2"/>
      <c r="B130" s="255" t="s">
        <v>1279</v>
      </c>
      <c r="C130" s="255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"/>
      <c r="P130" s="2"/>
    </row>
  </sheetData>
  <autoFilter ref="B5:F130"/>
  <mergeCells count="5">
    <mergeCell ref="B2:P2"/>
    <mergeCell ref="B3:P3"/>
    <mergeCell ref="B5:F5"/>
    <mergeCell ref="B129:N129"/>
    <mergeCell ref="B130:N130"/>
  </mergeCells>
  <conditionalFormatting sqref="E7:E130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{185865B0-95A8-41BD-A2D2-F74460E0D193}</x14:id>
        </ext>
      </extLst>
    </cfRule>
  </conditionalFormatting>
  <conditionalFormatting sqref="F7:F130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{9F6EA064-108E-441D-8E4C-683462F53BCE}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5865B0-95A8-41BD-A2D2-F74460E0D193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E7:E130</xm:sqref>
        </x14:conditionalFormatting>
        <x14:conditionalFormatting xmlns:xm="http://schemas.microsoft.com/office/excel/2006/main">
          <x14:cfRule type="dataBar" id="{9F6EA064-108E-441D-8E4C-683462F53BCE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F7:F130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P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4" min="3" style="1" width="14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5" hidden="false" customHeight="true" outlineLevel="0" collapsed="false">
      <c r="A2" s="2"/>
      <c r="B2" s="256" t="s">
        <v>5917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90" hidden="false" customHeight="true" outlineLevel="0" collapsed="false">
      <c r="A3" s="2"/>
      <c r="B3" s="250" t="s">
        <v>3635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57" t="s">
        <v>5918</v>
      </c>
      <c r="C5" s="257"/>
      <c r="D5" s="25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3637</v>
      </c>
      <c r="C6" s="258" t="s">
        <v>3638</v>
      </c>
      <c r="D6" s="258" t="s">
        <v>1284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3" t="n">
        <v>6</v>
      </c>
      <c r="C7" s="263" t="n">
        <v>36</v>
      </c>
      <c r="D7" s="260" t="n">
        <v>0.283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4" t="n">
        <v>8</v>
      </c>
      <c r="C8" s="264" t="n">
        <v>64</v>
      </c>
      <c r="D8" s="262" t="n">
        <v>0.502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3" t="n">
        <v>9</v>
      </c>
      <c r="C9" s="263" t="n">
        <v>81</v>
      </c>
      <c r="D9" s="260" t="n">
        <v>0.636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4" t="n">
        <v>10</v>
      </c>
      <c r="C10" s="264" t="n">
        <v>100</v>
      </c>
      <c r="D10" s="262" t="n">
        <v>0.785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3" t="n">
        <v>12</v>
      </c>
      <c r="C11" s="263" t="n">
        <v>144</v>
      </c>
      <c r="D11" s="260" t="n">
        <v>1.13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4" t="n">
        <v>13</v>
      </c>
      <c r="C12" s="264" t="n">
        <v>169</v>
      </c>
      <c r="D12" s="262" t="n">
        <v>1.33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3" t="n">
        <v>15</v>
      </c>
      <c r="C13" s="263" t="n">
        <v>225</v>
      </c>
      <c r="D13" s="260" t="n">
        <v>1.77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4" t="n">
        <v>16</v>
      </c>
      <c r="C14" s="264" t="n">
        <v>256</v>
      </c>
      <c r="D14" s="262" t="n">
        <v>2.01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3" t="n">
        <v>18</v>
      </c>
      <c r="C15" s="263" t="n">
        <v>324</v>
      </c>
      <c r="D15" s="260" t="n">
        <v>2.54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4" t="n">
        <v>19</v>
      </c>
      <c r="C16" s="264" t="n">
        <v>361</v>
      </c>
      <c r="D16" s="262" t="n">
        <v>2.83</v>
      </c>
      <c r="E16" s="2"/>
      <c r="F16" s="2"/>
      <c r="G16" s="2"/>
      <c r="H16" s="2"/>
      <c r="I16" s="2"/>
      <c r="J16" s="2"/>
      <c r="K16" s="2"/>
      <c r="L16" s="2"/>
      <c r="M16" s="2"/>
      <c r="N16" s="265" t="s">
        <v>5919</v>
      </c>
      <c r="O16" s="2"/>
      <c r="P16" s="2"/>
    </row>
    <row r="17" customFormat="false" ht="30" hidden="false" customHeight="true" outlineLevel="0" collapsed="false">
      <c r="A17" s="2"/>
      <c r="B17" s="263" t="n">
        <v>20</v>
      </c>
      <c r="C17" s="263" t="n">
        <v>400</v>
      </c>
      <c r="D17" s="260" t="n">
        <v>3.14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4" t="n">
        <v>22</v>
      </c>
      <c r="C18" s="264" t="n">
        <v>484</v>
      </c>
      <c r="D18" s="262" t="n">
        <v>3.8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3" t="n">
        <v>25</v>
      </c>
      <c r="C19" s="263" t="n">
        <v>625</v>
      </c>
      <c r="D19" s="260" t="n">
        <v>4.91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4" t="n">
        <v>28</v>
      </c>
      <c r="C20" s="264" t="n">
        <v>784</v>
      </c>
      <c r="D20" s="262" t="n">
        <v>6.15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3" t="n">
        <v>30</v>
      </c>
      <c r="C21" s="263" t="n">
        <v>900</v>
      </c>
      <c r="D21" s="260" t="n">
        <v>7.06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4" t="n">
        <v>32</v>
      </c>
      <c r="C22" s="264" t="n">
        <v>1024</v>
      </c>
      <c r="D22" s="262" t="n">
        <v>8.04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3" t="n">
        <v>35</v>
      </c>
      <c r="C23" s="263" t="n">
        <v>1225</v>
      </c>
      <c r="D23" s="260" t="n">
        <v>9.62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4" t="n">
        <v>36</v>
      </c>
      <c r="C24" s="264" t="n">
        <v>1296</v>
      </c>
      <c r="D24" s="262" t="n">
        <v>10.2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3" t="n">
        <v>38</v>
      </c>
      <c r="C25" s="263" t="n">
        <v>1444</v>
      </c>
      <c r="D25" s="260" t="n">
        <v>11.33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4" t="n">
        <v>40</v>
      </c>
      <c r="C26" s="264" t="n">
        <v>1600</v>
      </c>
      <c r="D26" s="262" t="n">
        <v>12.6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3" t="n">
        <v>44</v>
      </c>
      <c r="C27" s="263" t="n">
        <v>1936</v>
      </c>
      <c r="D27" s="260" t="n">
        <v>15.2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4" t="n">
        <v>45</v>
      </c>
      <c r="C28" s="264" t="n">
        <v>2025</v>
      </c>
      <c r="D28" s="262" t="n">
        <v>15.896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3" t="n">
        <v>50</v>
      </c>
      <c r="C29" s="263" t="n">
        <v>2500</v>
      </c>
      <c r="D29" s="260" t="n">
        <v>19.63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4" t="n">
        <v>55</v>
      </c>
      <c r="C30" s="264" t="n">
        <v>3025</v>
      </c>
      <c r="D30" s="262" t="n">
        <v>23.75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3" t="n">
        <v>60</v>
      </c>
      <c r="C31" s="263" t="n">
        <v>3600</v>
      </c>
      <c r="D31" s="260" t="n">
        <v>28.26</v>
      </c>
      <c r="E31" s="2"/>
      <c r="F31" s="2"/>
      <c r="G31" s="2"/>
      <c r="H31" s="2"/>
      <c r="I31" s="2"/>
      <c r="J31" s="2"/>
      <c r="K31" s="2"/>
      <c r="L31" s="2"/>
      <c r="M31" s="2"/>
      <c r="N31" s="265" t="s">
        <v>5920</v>
      </c>
      <c r="O31" s="2"/>
      <c r="P31" s="2"/>
    </row>
    <row r="32" customFormat="false" ht="30" hidden="false" customHeight="true" outlineLevel="0" collapsed="false">
      <c r="A32" s="2"/>
      <c r="B32" s="264" t="n">
        <v>65</v>
      </c>
      <c r="C32" s="264" t="n">
        <v>4225</v>
      </c>
      <c r="D32" s="262" t="n">
        <v>33.2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63" t="n">
        <v>70</v>
      </c>
      <c r="C33" s="263" t="n">
        <v>4900</v>
      </c>
      <c r="D33" s="260" t="n">
        <v>38.5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4" t="n">
        <v>75</v>
      </c>
      <c r="C34" s="264" t="n">
        <v>5625</v>
      </c>
      <c r="D34" s="262" t="n">
        <v>44.2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63" t="n">
        <v>80</v>
      </c>
      <c r="C35" s="263" t="n">
        <v>6400</v>
      </c>
      <c r="D35" s="260" t="n">
        <v>50.24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4" t="n">
        <v>85</v>
      </c>
      <c r="C36" s="264" t="n">
        <v>7225</v>
      </c>
      <c r="D36" s="262" t="n">
        <v>56.72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63" t="n">
        <v>90</v>
      </c>
      <c r="C37" s="263" t="n">
        <v>8100</v>
      </c>
      <c r="D37" s="260" t="n">
        <v>63.6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4" t="n">
        <v>95</v>
      </c>
      <c r="C38" s="264" t="n">
        <v>9025</v>
      </c>
      <c r="D38" s="262" t="n">
        <v>70.85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63" t="n">
        <v>100</v>
      </c>
      <c r="C39" s="263" t="n">
        <v>10000</v>
      </c>
      <c r="D39" s="260" t="n">
        <v>78.5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4" t="n">
        <v>110</v>
      </c>
      <c r="C40" s="264" t="n">
        <v>12100</v>
      </c>
      <c r="D40" s="264" t="n">
        <v>95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63" t="n">
        <v>120</v>
      </c>
      <c r="C41" s="263" t="n">
        <v>14400</v>
      </c>
      <c r="D41" s="263" t="n">
        <v>113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4" t="n">
        <v>130</v>
      </c>
      <c r="C42" s="264" t="n">
        <v>16900</v>
      </c>
      <c r="D42" s="264" t="n">
        <v>133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63" t="n">
        <v>140</v>
      </c>
      <c r="C43" s="263" t="n">
        <v>19600</v>
      </c>
      <c r="D43" s="263" t="n">
        <v>154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4" t="n">
        <v>150</v>
      </c>
      <c r="C44" s="264" t="n">
        <v>22500</v>
      </c>
      <c r="D44" s="264" t="n">
        <v>177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63" t="n">
        <v>160</v>
      </c>
      <c r="C45" s="263" t="n">
        <v>25600</v>
      </c>
      <c r="D45" s="263" t="n">
        <v>201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7.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57" t="s">
        <v>5921</v>
      </c>
      <c r="C48" s="257"/>
      <c r="D48" s="25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8" t="s">
        <v>3738</v>
      </c>
      <c r="C49" s="258" t="s">
        <v>3739</v>
      </c>
      <c r="D49" s="258" t="s">
        <v>3740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3" t="n">
        <v>6</v>
      </c>
      <c r="C50" s="260" t="n">
        <v>0.222</v>
      </c>
      <c r="D50" s="260" t="n">
        <v>1.332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64" t="n">
        <v>8</v>
      </c>
      <c r="C51" s="262" t="n">
        <v>0.395</v>
      </c>
      <c r="D51" s="262" t="n">
        <v>2.37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3" t="n">
        <v>9</v>
      </c>
      <c r="C52" s="260" t="n">
        <v>0.499</v>
      </c>
      <c r="D52" s="260" t="n">
        <v>2.994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64" t="n">
        <v>10</v>
      </c>
      <c r="C53" s="262" t="n">
        <v>0.617</v>
      </c>
      <c r="D53" s="262" t="n">
        <v>3.702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3" t="n">
        <v>12</v>
      </c>
      <c r="C54" s="260" t="n">
        <v>0.888</v>
      </c>
      <c r="D54" s="260" t="n">
        <v>5.328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64" t="n">
        <v>13</v>
      </c>
      <c r="C55" s="262" t="n">
        <v>1.04</v>
      </c>
      <c r="D55" s="262" t="n">
        <v>6.24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3" t="n">
        <v>15</v>
      </c>
      <c r="C56" s="260" t="n">
        <v>1.39</v>
      </c>
      <c r="D56" s="260" t="n">
        <v>8.34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64" t="n">
        <v>16</v>
      </c>
      <c r="C57" s="262" t="n">
        <v>1.58</v>
      </c>
      <c r="D57" s="262" t="n">
        <v>9.48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3" t="n">
        <v>18</v>
      </c>
      <c r="C58" s="260" t="n">
        <v>2</v>
      </c>
      <c r="D58" s="260" t="n">
        <v>12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64" t="n">
        <v>19</v>
      </c>
      <c r="C59" s="262" t="n">
        <v>2.23</v>
      </c>
      <c r="D59" s="262" t="n">
        <v>13.38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3" t="n">
        <v>20</v>
      </c>
      <c r="C60" s="260" t="n">
        <v>2.47</v>
      </c>
      <c r="D60" s="260" t="n">
        <v>14.82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64" t="n">
        <v>22</v>
      </c>
      <c r="C61" s="262" t="n">
        <v>2.98</v>
      </c>
      <c r="D61" s="262" t="n">
        <v>17.88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3" t="n">
        <v>25</v>
      </c>
      <c r="C62" s="260" t="n">
        <v>3.85</v>
      </c>
      <c r="D62" s="260" t="n">
        <v>23.1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64" t="n">
        <v>28</v>
      </c>
      <c r="C63" s="262" t="n">
        <v>4.83</v>
      </c>
      <c r="D63" s="262" t="n">
        <v>28.98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3" t="n">
        <v>30</v>
      </c>
      <c r="C64" s="260" t="n">
        <v>5.55</v>
      </c>
      <c r="D64" s="260" t="n">
        <v>33.3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64" t="n">
        <v>32</v>
      </c>
      <c r="C65" s="262" t="n">
        <v>6.31</v>
      </c>
      <c r="D65" s="262" t="n">
        <v>37.86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3" t="n">
        <v>34</v>
      </c>
      <c r="C66" s="260" t="n">
        <v>7.13</v>
      </c>
      <c r="D66" s="260" t="n">
        <v>42.78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64" t="n">
        <v>36</v>
      </c>
      <c r="C67" s="262" t="n">
        <v>7.99</v>
      </c>
      <c r="D67" s="262" t="n">
        <v>47.94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3" t="n">
        <v>38</v>
      </c>
      <c r="C68" s="260" t="n">
        <v>8.9</v>
      </c>
      <c r="D68" s="260" t="n">
        <v>53.4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64" t="n">
        <v>40</v>
      </c>
      <c r="C69" s="262" t="n">
        <v>9.87</v>
      </c>
      <c r="D69" s="262" t="n">
        <v>59.22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3" t="n">
        <v>42</v>
      </c>
      <c r="C70" s="260" t="n">
        <v>10.9</v>
      </c>
      <c r="D70" s="260" t="n">
        <v>65.4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64" t="n">
        <v>44</v>
      </c>
      <c r="C71" s="262" t="n">
        <v>11.9</v>
      </c>
      <c r="D71" s="262" t="n">
        <v>71.4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3" t="n">
        <v>45</v>
      </c>
      <c r="C72" s="260" t="n">
        <v>12.5</v>
      </c>
      <c r="D72" s="260" t="n">
        <v>75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64" t="n">
        <v>46</v>
      </c>
      <c r="C73" s="262" t="n">
        <v>13</v>
      </c>
      <c r="D73" s="262" t="n">
        <v>78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3" t="n">
        <v>48</v>
      </c>
      <c r="C74" s="260" t="n">
        <v>14.2</v>
      </c>
      <c r="D74" s="260" t="n">
        <v>85.2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64" t="n">
        <v>50</v>
      </c>
      <c r="C75" s="262" t="n">
        <v>15.4</v>
      </c>
      <c r="D75" s="262" t="n">
        <v>92.4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3" t="n">
        <v>55</v>
      </c>
      <c r="C76" s="260" t="n">
        <v>18.7</v>
      </c>
      <c r="D76" s="260" t="n">
        <v>112.2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64" t="n">
        <v>60</v>
      </c>
      <c r="C77" s="262" t="n">
        <v>22.2</v>
      </c>
      <c r="D77" s="262" t="n">
        <v>133.2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3" t="n">
        <v>65</v>
      </c>
      <c r="C78" s="260" t="n">
        <v>26</v>
      </c>
      <c r="D78" s="260" t="n">
        <v>156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64" t="n">
        <v>70</v>
      </c>
      <c r="C79" s="262" t="n">
        <v>30.2</v>
      </c>
      <c r="D79" s="262" t="n">
        <v>181.2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3" t="n">
        <v>75</v>
      </c>
      <c r="C80" s="260" t="n">
        <v>34.7</v>
      </c>
      <c r="D80" s="260" t="n">
        <v>208.2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64" t="n">
        <v>80</v>
      </c>
      <c r="C81" s="262" t="n">
        <v>39.5</v>
      </c>
      <c r="D81" s="262" t="n">
        <v>237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3" t="n">
        <v>85</v>
      </c>
      <c r="C82" s="260" t="n">
        <v>44.5</v>
      </c>
      <c r="D82" s="260" t="n">
        <v>267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64" t="n">
        <v>90</v>
      </c>
      <c r="C83" s="262" t="n">
        <v>49.9</v>
      </c>
      <c r="D83" s="262" t="n">
        <v>299.4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3" t="n">
        <v>95</v>
      </c>
      <c r="C84" s="260" t="n">
        <v>55.6</v>
      </c>
      <c r="D84" s="260" t="n">
        <v>333.6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64" t="n">
        <v>100</v>
      </c>
      <c r="C85" s="262" t="n">
        <v>61.7</v>
      </c>
      <c r="D85" s="262" t="n">
        <v>370.2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3" t="n">
        <v>105</v>
      </c>
      <c r="C86" s="260" t="n">
        <v>68</v>
      </c>
      <c r="D86" s="260" t="n">
        <v>408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64" t="n">
        <v>110</v>
      </c>
      <c r="C87" s="262" t="n">
        <v>74.6</v>
      </c>
      <c r="D87" s="262" t="n">
        <v>447.6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3" t="n">
        <v>120</v>
      </c>
      <c r="C88" s="260" t="n">
        <v>88.8</v>
      </c>
      <c r="D88" s="260" t="n">
        <v>532.8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64" t="n">
        <v>125</v>
      </c>
      <c r="C89" s="262" t="n">
        <v>96.3</v>
      </c>
      <c r="D89" s="262" t="n">
        <v>577.8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3" t="n">
        <v>130</v>
      </c>
      <c r="C90" s="263" t="n">
        <v>104</v>
      </c>
      <c r="D90" s="263" t="n">
        <v>624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64" t="n">
        <v>135</v>
      </c>
      <c r="C91" s="264" t="n">
        <v>112</v>
      </c>
      <c r="D91" s="264" t="n">
        <v>672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3" t="n">
        <v>140</v>
      </c>
      <c r="C92" s="263" t="n">
        <v>121</v>
      </c>
      <c r="D92" s="263" t="n">
        <v>726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64" t="n">
        <v>145</v>
      </c>
      <c r="C93" s="264" t="n">
        <v>130</v>
      </c>
      <c r="D93" s="264" t="n">
        <v>780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3" t="n">
        <v>150</v>
      </c>
      <c r="C94" s="263" t="n">
        <v>139</v>
      </c>
      <c r="D94" s="263" t="n">
        <v>834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64" t="n">
        <v>160</v>
      </c>
      <c r="C95" s="264" t="n">
        <v>158</v>
      </c>
      <c r="D95" s="264" t="n">
        <v>948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3" t="n">
        <v>170</v>
      </c>
      <c r="C96" s="263" t="n">
        <v>178</v>
      </c>
      <c r="D96" s="263" t="n">
        <v>1068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64" t="n">
        <v>180</v>
      </c>
      <c r="C97" s="264" t="n">
        <v>200</v>
      </c>
      <c r="D97" s="264" t="n">
        <v>1200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3" t="n">
        <v>190</v>
      </c>
      <c r="C98" s="263" t="n">
        <v>223</v>
      </c>
      <c r="D98" s="263" t="n">
        <v>1338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64" t="n">
        <v>200</v>
      </c>
      <c r="C99" s="264" t="n">
        <v>247</v>
      </c>
      <c r="D99" s="264" t="n">
        <v>1482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3" t="n">
        <v>210</v>
      </c>
      <c r="C100" s="263" t="n">
        <v>272</v>
      </c>
      <c r="D100" s="263" t="n">
        <v>1632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64" t="n">
        <v>220</v>
      </c>
      <c r="C101" s="264" t="n">
        <v>298</v>
      </c>
      <c r="D101" s="264" t="n">
        <v>1788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3" t="n">
        <v>230</v>
      </c>
      <c r="C102" s="263" t="n">
        <v>326</v>
      </c>
      <c r="D102" s="263" t="n">
        <v>1956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64" t="n">
        <v>240</v>
      </c>
      <c r="C103" s="264" t="n">
        <v>355</v>
      </c>
      <c r="D103" s="264" t="n">
        <v>2130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3" t="n">
        <v>250</v>
      </c>
      <c r="C104" s="263" t="n">
        <v>385</v>
      </c>
      <c r="D104" s="263" t="n">
        <v>2310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64" t="n">
        <v>260</v>
      </c>
      <c r="C105" s="264" t="n">
        <v>417</v>
      </c>
      <c r="D105" s="264" t="n">
        <v>2502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3" t="n">
        <v>270</v>
      </c>
      <c r="C106" s="263" t="n">
        <v>449</v>
      </c>
      <c r="D106" s="263" t="n">
        <v>2694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64" t="n">
        <v>280</v>
      </c>
      <c r="C107" s="264" t="n">
        <v>483</v>
      </c>
      <c r="D107" s="264" t="n">
        <v>2898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3" t="n">
        <v>290</v>
      </c>
      <c r="C108" s="263" t="n">
        <v>518</v>
      </c>
      <c r="D108" s="263" t="n">
        <v>3108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64" t="n">
        <v>300</v>
      </c>
      <c r="C109" s="264" t="n">
        <v>555</v>
      </c>
      <c r="D109" s="264" t="n">
        <v>3330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1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7.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45" hidden="false" customHeight="true" outlineLevel="0" collapsed="false">
      <c r="A112" s="2"/>
      <c r="B112" s="257" t="s">
        <v>5922</v>
      </c>
      <c r="C112" s="257"/>
      <c r="D112" s="25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8" t="s">
        <v>3637</v>
      </c>
      <c r="C113" s="258" t="s">
        <v>3901</v>
      </c>
      <c r="D113" s="258" t="s">
        <v>3739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0" t="n">
        <v>4.763</v>
      </c>
      <c r="C114" s="259" t="s">
        <v>3904</v>
      </c>
      <c r="D114" s="260" t="n">
        <v>0.154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62" t="n">
        <v>5.556</v>
      </c>
      <c r="C115" s="261" t="s">
        <v>3908</v>
      </c>
      <c r="D115" s="262" t="n">
        <v>0.21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0" t="n">
        <v>7</v>
      </c>
      <c r="C116" s="259" t="s">
        <v>524</v>
      </c>
      <c r="D116" s="260" t="n">
        <v>0.333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62" t="n">
        <v>7.938</v>
      </c>
      <c r="C117" s="261" t="s">
        <v>3914</v>
      </c>
      <c r="D117" s="262" t="n">
        <v>0.428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0" t="n">
        <v>9.525</v>
      </c>
      <c r="C118" s="259" t="s">
        <v>3918</v>
      </c>
      <c r="D118" s="260" t="n">
        <v>0.617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62" t="n">
        <v>11.113</v>
      </c>
      <c r="C119" s="261" t="s">
        <v>3921</v>
      </c>
      <c r="D119" s="262" t="n">
        <v>0.84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0" t="n">
        <v>12.7</v>
      </c>
      <c r="C120" s="259" t="s">
        <v>2679</v>
      </c>
      <c r="D120" s="260" t="n">
        <v>1.096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62" t="n">
        <v>14</v>
      </c>
      <c r="C121" s="261" t="s">
        <v>524</v>
      </c>
      <c r="D121" s="262" t="n">
        <v>1.332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0" t="n">
        <v>15</v>
      </c>
      <c r="C122" s="259" t="s">
        <v>524</v>
      </c>
      <c r="D122" s="260" t="n">
        <v>1.53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62" t="n">
        <v>15.875</v>
      </c>
      <c r="C123" s="261" t="s">
        <v>3929</v>
      </c>
      <c r="D123" s="262" t="n">
        <v>1.713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0" t="n">
        <v>16</v>
      </c>
      <c r="C124" s="259" t="s">
        <v>524</v>
      </c>
      <c r="D124" s="260" t="n">
        <v>1.713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62" t="n">
        <v>17</v>
      </c>
      <c r="C125" s="261" t="s">
        <v>524</v>
      </c>
      <c r="D125" s="262" t="n">
        <v>1.965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0" t="n">
        <v>17.463</v>
      </c>
      <c r="C126" s="259" t="s">
        <v>3936</v>
      </c>
      <c r="D126" s="260" t="n">
        <v>2.073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62" t="n">
        <v>19</v>
      </c>
      <c r="C127" s="261" t="s">
        <v>524</v>
      </c>
      <c r="D127" s="262" t="n">
        <v>2.454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0" t="n">
        <v>20.638</v>
      </c>
      <c r="C128" s="259" t="s">
        <v>3942</v>
      </c>
      <c r="D128" s="260" t="n">
        <v>2.895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62" t="n">
        <v>21</v>
      </c>
      <c r="C129" s="261" t="s">
        <v>524</v>
      </c>
      <c r="D129" s="262" t="n">
        <v>2.998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60" t="n">
        <v>22</v>
      </c>
      <c r="C130" s="259" t="s">
        <v>524</v>
      </c>
      <c r="D130" s="260" t="n">
        <v>3.29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62" t="n">
        <v>22.225</v>
      </c>
      <c r="C131" s="261" t="s">
        <v>3950</v>
      </c>
      <c r="D131" s="262" t="n">
        <v>3.358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30" hidden="false" customHeight="true" outlineLevel="0" collapsed="false">
      <c r="A132" s="2"/>
      <c r="B132" s="260" t="n">
        <v>23</v>
      </c>
      <c r="C132" s="259" t="s">
        <v>524</v>
      </c>
      <c r="D132" s="260" t="n">
        <v>3.596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30" hidden="false" customHeight="true" outlineLevel="0" collapsed="false">
      <c r="A133" s="2"/>
      <c r="B133" s="262" t="n">
        <v>24</v>
      </c>
      <c r="C133" s="261" t="s">
        <v>524</v>
      </c>
      <c r="D133" s="262" t="n">
        <v>4.386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30" hidden="false" customHeight="true" outlineLevel="0" collapsed="false">
      <c r="A134" s="2"/>
      <c r="B134" s="260" t="n">
        <v>25.4</v>
      </c>
      <c r="C134" s="259" t="s">
        <v>1045</v>
      </c>
      <c r="D134" s="260" t="n">
        <v>4.386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customFormat="false" ht="30" hidden="false" customHeight="true" outlineLevel="0" collapsed="false">
      <c r="A135" s="2"/>
      <c r="B135" s="262" t="n">
        <v>26</v>
      </c>
      <c r="C135" s="261" t="s">
        <v>524</v>
      </c>
      <c r="D135" s="262" t="n">
        <v>4.595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customFormat="false" ht="30" hidden="false" customHeight="true" outlineLevel="0" collapsed="false">
      <c r="A136" s="2"/>
      <c r="B136" s="260" t="n">
        <v>27</v>
      </c>
      <c r="C136" s="259" t="s">
        <v>524</v>
      </c>
      <c r="D136" s="260" t="n">
        <v>4.956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customFormat="false" ht="30" hidden="false" customHeight="true" outlineLevel="0" collapsed="false">
      <c r="A137" s="2"/>
      <c r="B137" s="262" t="n">
        <v>28.575</v>
      </c>
      <c r="C137" s="261" t="s">
        <v>3964</v>
      </c>
      <c r="D137" s="262" t="n">
        <v>5.551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customFormat="false" ht="30" hidden="false" customHeight="true" outlineLevel="0" collapsed="false">
      <c r="A138" s="2"/>
      <c r="B138" s="260" t="n">
        <v>29</v>
      </c>
      <c r="C138" s="259" t="s">
        <v>524</v>
      </c>
      <c r="D138" s="260" t="n">
        <v>5.717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customFormat="false" ht="30" hidden="false" customHeight="true" outlineLevel="0" collapsed="false">
      <c r="A139" s="2"/>
      <c r="B139" s="262" t="n">
        <v>31.75</v>
      </c>
      <c r="C139" s="261" t="s">
        <v>2691</v>
      </c>
      <c r="D139" s="262" t="n">
        <v>6.835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customFormat="false" ht="30" hidden="false" customHeight="true" outlineLevel="0" collapsed="false">
      <c r="A140" s="2"/>
      <c r="B140" s="260" t="n">
        <v>32</v>
      </c>
      <c r="C140" s="259" t="s">
        <v>524</v>
      </c>
      <c r="D140" s="260" t="n">
        <v>6.961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customFormat="false" ht="30" hidden="false" customHeight="true" outlineLevel="0" collapsed="false">
      <c r="A141" s="2"/>
      <c r="B141" s="262" t="n">
        <v>33.338</v>
      </c>
      <c r="C141" s="261" t="s">
        <v>3974</v>
      </c>
      <c r="D141" s="262" t="n">
        <v>7.555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customFormat="false" ht="30" hidden="false" customHeight="true" outlineLevel="0" collapsed="false">
      <c r="A142" s="2"/>
      <c r="B142" s="260" t="n">
        <v>34.925</v>
      </c>
      <c r="C142" s="259" t="s">
        <v>524</v>
      </c>
      <c r="D142" s="260" t="n">
        <v>8.292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customFormat="false" ht="30" hidden="false" customHeight="true" outlineLevel="0" collapsed="false">
      <c r="A143" s="2"/>
      <c r="B143" s="262" t="n">
        <v>35</v>
      </c>
      <c r="C143" s="261" t="s">
        <v>524</v>
      </c>
      <c r="D143" s="262" t="n">
        <v>8.328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customFormat="false" ht="30" hidden="false" customHeight="true" outlineLevel="0" collapsed="false">
      <c r="A144" s="2"/>
      <c r="B144" s="260" t="n">
        <v>38</v>
      </c>
      <c r="C144" s="259" t="s">
        <v>524</v>
      </c>
      <c r="D144" s="260" t="n">
        <v>9.816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customFormat="false" ht="30" hidden="false" customHeight="true" outlineLevel="0" collapsed="false">
      <c r="A145" s="2"/>
      <c r="B145" s="262" t="n">
        <v>38.1</v>
      </c>
      <c r="C145" s="261" t="s">
        <v>2695</v>
      </c>
      <c r="D145" s="262" t="n">
        <v>9.868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customFormat="false" ht="30" hidden="false" customHeight="true" outlineLevel="0" collapsed="false">
      <c r="A146" s="2"/>
      <c r="B146" s="260" t="n">
        <v>40</v>
      </c>
      <c r="C146" s="259" t="s">
        <v>524</v>
      </c>
      <c r="D146" s="260" t="n">
        <v>13.161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customFormat="false" ht="30" hidden="false" customHeight="true" outlineLevel="0" collapsed="false">
      <c r="A147" s="2"/>
      <c r="B147" s="262" t="n">
        <v>44.45</v>
      </c>
      <c r="C147" s="261" t="s">
        <v>3989</v>
      </c>
      <c r="D147" s="262" t="n">
        <v>13.432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customFormat="false" ht="30" hidden="false" customHeight="true" outlineLevel="0" collapsed="false">
      <c r="A148" s="2"/>
      <c r="B148" s="260" t="n">
        <v>50.8</v>
      </c>
      <c r="C148" s="259" t="s">
        <v>2543</v>
      </c>
      <c r="D148" s="260" t="n">
        <v>17.543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customFormat="false" ht="1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customFormat="false" ht="7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customFormat="false" ht="120" hidden="false" customHeight="true" outlineLevel="0" collapsed="false">
      <c r="A151" s="2"/>
      <c r="B151" s="255" t="s">
        <v>2336</v>
      </c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"/>
      <c r="P151" s="2"/>
    </row>
    <row r="152" customFormat="false" ht="120" hidden="false" customHeight="true" outlineLevel="0" collapsed="false">
      <c r="A152" s="2"/>
      <c r="B152" s="255" t="s">
        <v>1279</v>
      </c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"/>
      <c r="P152" s="2"/>
    </row>
  </sheetData>
  <autoFilter ref="B5:F152"/>
  <mergeCells count="7">
    <mergeCell ref="B2:P2"/>
    <mergeCell ref="B3:P3"/>
    <mergeCell ref="B5:D5"/>
    <mergeCell ref="B48:D48"/>
    <mergeCell ref="B112:D112"/>
    <mergeCell ref="B151:N151"/>
    <mergeCell ref="B152:N1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P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16"/>
    <col collapsed="false" customWidth="true" hidden="false" outlineLevel="0" max="6" min="4" style="1" width="12"/>
    <col collapsed="false" customWidth="true" hidden="false" outlineLevel="0" max="13" min="13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5923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3996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75" hidden="false" customHeight="true" outlineLevel="0" collapsed="false">
      <c r="A5" s="2"/>
      <c r="B5" s="257" t="s">
        <v>5924</v>
      </c>
      <c r="C5" s="257"/>
      <c r="D5" s="257"/>
      <c r="E5" s="257"/>
      <c r="F5" s="257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3998</v>
      </c>
      <c r="C6" s="258" t="s">
        <v>3999</v>
      </c>
      <c r="D6" s="258" t="s">
        <v>4000</v>
      </c>
      <c r="E6" s="258" t="s">
        <v>2196</v>
      </c>
      <c r="F6" s="258" t="s">
        <v>2197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3450</v>
      </c>
      <c r="C7" s="260" t="n">
        <v>3.5</v>
      </c>
      <c r="D7" s="259" t="s">
        <v>524</v>
      </c>
      <c r="E7" s="260" t="n">
        <v>2.56</v>
      </c>
      <c r="F7" s="260" t="n">
        <v>15.36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3450</v>
      </c>
      <c r="C8" s="262" t="n">
        <v>4</v>
      </c>
      <c r="D8" s="262" t="n">
        <v>6</v>
      </c>
      <c r="E8" s="262" t="n">
        <v>2.92</v>
      </c>
      <c r="F8" s="262" t="n">
        <v>17.52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3450</v>
      </c>
      <c r="C9" s="260" t="n">
        <v>5</v>
      </c>
      <c r="D9" s="260" t="n">
        <v>6</v>
      </c>
      <c r="E9" s="260" t="n">
        <v>3.86</v>
      </c>
      <c r="F9" s="260" t="n">
        <v>23.16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2199</v>
      </c>
      <c r="C10" s="262" t="n">
        <v>4.8</v>
      </c>
      <c r="D10" s="262" t="n">
        <v>7.5</v>
      </c>
      <c r="E10" s="262" t="n">
        <v>6.7</v>
      </c>
      <c r="F10" s="262" t="n">
        <v>40.2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4014</v>
      </c>
      <c r="C11" s="260" t="n">
        <v>3.8</v>
      </c>
      <c r="D11" s="259" t="s">
        <v>524</v>
      </c>
      <c r="E11" s="260" t="n">
        <v>5.3</v>
      </c>
      <c r="F11" s="260" t="n">
        <v>31.8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4014</v>
      </c>
      <c r="C12" s="262" t="n">
        <v>4</v>
      </c>
      <c r="D12" s="261" t="s">
        <v>524</v>
      </c>
      <c r="E12" s="262" t="n">
        <v>5.6</v>
      </c>
      <c r="F12" s="262" t="n">
        <v>33.6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4014</v>
      </c>
      <c r="C13" s="260" t="n">
        <v>4.5</v>
      </c>
      <c r="D13" s="259" t="s">
        <v>524</v>
      </c>
      <c r="E13" s="260" t="n">
        <v>5.85</v>
      </c>
      <c r="F13" s="260" t="n">
        <v>35.1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4014</v>
      </c>
      <c r="C14" s="262" t="n">
        <v>5</v>
      </c>
      <c r="D14" s="262" t="n">
        <v>7</v>
      </c>
      <c r="E14" s="262" t="n">
        <v>6.92</v>
      </c>
      <c r="F14" s="262" t="n">
        <v>41.52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4024</v>
      </c>
      <c r="C15" s="260" t="n">
        <v>3.8</v>
      </c>
      <c r="D15" s="259" t="s">
        <v>524</v>
      </c>
      <c r="E15" s="260" t="n">
        <v>7.5</v>
      </c>
      <c r="F15" s="260" t="n">
        <v>45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3528</v>
      </c>
      <c r="C16" s="262" t="n">
        <v>4.2</v>
      </c>
      <c r="D16" s="261" t="s">
        <v>524</v>
      </c>
      <c r="E16" s="262" t="n">
        <v>8.03</v>
      </c>
      <c r="F16" s="262" t="n">
        <v>48.18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3528</v>
      </c>
      <c r="C17" s="260" t="n">
        <v>4.5</v>
      </c>
      <c r="D17" s="259" t="s">
        <v>524</v>
      </c>
      <c r="E17" s="260" t="n">
        <v>8.97</v>
      </c>
      <c r="F17" s="260" t="n">
        <v>53.82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3528</v>
      </c>
      <c r="C18" s="262" t="n">
        <v>5</v>
      </c>
      <c r="D18" s="262" t="n">
        <v>7.5</v>
      </c>
      <c r="E18" s="262" t="n">
        <v>9.36</v>
      </c>
      <c r="F18" s="262" t="n">
        <v>56.16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3528</v>
      </c>
      <c r="C19" s="260" t="n">
        <v>6</v>
      </c>
      <c r="D19" s="259" t="s">
        <v>524</v>
      </c>
      <c r="E19" s="260" t="n">
        <v>10.6</v>
      </c>
      <c r="F19" s="260" t="n">
        <v>63.6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4034</v>
      </c>
      <c r="C20" s="262" t="n">
        <v>5.5</v>
      </c>
      <c r="D20" s="262" t="n">
        <v>9</v>
      </c>
      <c r="E20" s="262" t="n">
        <v>12.06</v>
      </c>
      <c r="F20" s="262" t="n">
        <v>72.36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4037</v>
      </c>
      <c r="C21" s="260" t="n">
        <v>5.2</v>
      </c>
      <c r="D21" s="259" t="s">
        <v>524</v>
      </c>
      <c r="E21" s="260" t="n">
        <v>11.66</v>
      </c>
      <c r="F21" s="260" t="n">
        <v>69.96</v>
      </c>
      <c r="G21" s="2"/>
      <c r="H21" s="2"/>
      <c r="I21" s="2"/>
      <c r="J21" s="2"/>
      <c r="K21" s="2"/>
      <c r="L21" s="2"/>
      <c r="M21" s="265" t="s">
        <v>5925</v>
      </c>
      <c r="N21" s="2"/>
      <c r="O21" s="2"/>
      <c r="P21" s="2"/>
    </row>
    <row r="22" customFormat="false" ht="30" hidden="false" customHeight="true" outlineLevel="0" collapsed="false">
      <c r="A22" s="2"/>
      <c r="B22" s="261" t="s">
        <v>4037</v>
      </c>
      <c r="C22" s="262" t="n">
        <v>5.3</v>
      </c>
      <c r="D22" s="261" t="s">
        <v>524</v>
      </c>
      <c r="E22" s="262" t="n">
        <v>12.17</v>
      </c>
      <c r="F22" s="262" t="n">
        <v>73.02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4037</v>
      </c>
      <c r="C23" s="260" t="n">
        <v>12.91</v>
      </c>
      <c r="D23" s="260" t="n">
        <v>7.5</v>
      </c>
      <c r="E23" s="259" t="s">
        <v>524</v>
      </c>
      <c r="F23" s="259" t="s">
        <v>524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4037</v>
      </c>
      <c r="C24" s="262" t="n">
        <v>6</v>
      </c>
      <c r="D24" s="262" t="n">
        <v>8</v>
      </c>
      <c r="E24" s="262" t="n">
        <v>13.4</v>
      </c>
      <c r="F24" s="262" t="n">
        <v>80.4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2275</v>
      </c>
      <c r="C25" s="260" t="n">
        <v>5.5</v>
      </c>
      <c r="D25" s="259" t="s">
        <v>524</v>
      </c>
      <c r="E25" s="260" t="n">
        <v>14.66</v>
      </c>
      <c r="F25" s="260" t="n">
        <v>87.96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2275</v>
      </c>
      <c r="C26" s="262" t="n">
        <v>5.7</v>
      </c>
      <c r="D26" s="261" t="s">
        <v>524</v>
      </c>
      <c r="E26" s="262" t="n">
        <v>16.71</v>
      </c>
      <c r="F26" s="262" t="n">
        <v>100.26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2275</v>
      </c>
      <c r="C27" s="260" t="n">
        <v>6</v>
      </c>
      <c r="D27" s="259" t="s">
        <v>524</v>
      </c>
      <c r="E27" s="260" t="n">
        <v>18.01</v>
      </c>
      <c r="F27" s="260" t="n">
        <v>108.06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2275</v>
      </c>
      <c r="C28" s="262" t="n">
        <v>6.5</v>
      </c>
      <c r="D28" s="262" t="n">
        <v>10</v>
      </c>
      <c r="E28" s="262" t="n">
        <v>18.6</v>
      </c>
      <c r="F28" s="262" t="n">
        <v>111.6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2275</v>
      </c>
      <c r="C29" s="260" t="n">
        <v>9</v>
      </c>
      <c r="D29" s="260" t="n">
        <v>12.5</v>
      </c>
      <c r="E29" s="260" t="n">
        <v>24</v>
      </c>
      <c r="F29" s="260" t="n">
        <v>144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4060</v>
      </c>
      <c r="C30" s="262" t="n">
        <v>6.76</v>
      </c>
      <c r="D30" s="262" t="n">
        <v>10</v>
      </c>
      <c r="E30" s="262" t="n">
        <v>18.6</v>
      </c>
      <c r="F30" s="262" t="n">
        <v>111.6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4060</v>
      </c>
      <c r="C31" s="260" t="n">
        <v>7</v>
      </c>
      <c r="D31" s="260" t="n">
        <v>10.5</v>
      </c>
      <c r="E31" s="260" t="n">
        <v>20.17</v>
      </c>
      <c r="F31" s="260" t="n">
        <v>121.02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4065</v>
      </c>
      <c r="C32" s="262" t="n">
        <v>7.5</v>
      </c>
      <c r="D32" s="262" t="n">
        <v>12.5</v>
      </c>
      <c r="E32" s="262" t="n">
        <v>27.1</v>
      </c>
      <c r="F32" s="262" t="n">
        <v>162.6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4065</v>
      </c>
      <c r="C33" s="260" t="n">
        <v>8</v>
      </c>
      <c r="D33" s="259" t="s">
        <v>524</v>
      </c>
      <c r="E33" s="260" t="n">
        <v>22.91</v>
      </c>
      <c r="F33" s="260" t="n">
        <v>137.46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4072</v>
      </c>
      <c r="C34" s="262" t="n">
        <v>8</v>
      </c>
      <c r="D34" s="261" t="s">
        <v>524</v>
      </c>
      <c r="E34" s="262" t="n">
        <v>22.91</v>
      </c>
      <c r="F34" s="262" t="n">
        <v>137.46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4072</v>
      </c>
      <c r="C35" s="260" t="n">
        <v>9</v>
      </c>
      <c r="D35" s="260" t="n">
        <v>11</v>
      </c>
      <c r="E35" s="260" t="n">
        <v>25.77</v>
      </c>
      <c r="F35" s="260" t="n">
        <v>154.62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4077</v>
      </c>
      <c r="C36" s="262" t="n">
        <v>7.5</v>
      </c>
      <c r="D36" s="262" t="n">
        <v>11</v>
      </c>
      <c r="E36" s="262" t="n">
        <v>24.6</v>
      </c>
      <c r="F36" s="262" t="n">
        <v>147.6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2321</v>
      </c>
      <c r="C37" s="260" t="n">
        <v>8</v>
      </c>
      <c r="D37" s="259" t="s">
        <v>524</v>
      </c>
      <c r="E37" s="260" t="n">
        <v>24.6</v>
      </c>
      <c r="F37" s="260" t="n">
        <v>147.6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4082</v>
      </c>
      <c r="C38" s="262" t="n">
        <v>8</v>
      </c>
      <c r="D38" s="262" t="n">
        <v>12</v>
      </c>
      <c r="E38" s="262" t="n">
        <v>28.4</v>
      </c>
      <c r="F38" s="262" t="n">
        <v>170.4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4086</v>
      </c>
      <c r="C39" s="260" t="n">
        <v>8.5</v>
      </c>
      <c r="D39" s="260" t="n">
        <v>12</v>
      </c>
      <c r="E39" s="260" t="n">
        <v>33.1</v>
      </c>
      <c r="F39" s="260" t="n">
        <v>198.6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4091</v>
      </c>
      <c r="C40" s="262" t="n">
        <v>8</v>
      </c>
      <c r="D40" s="262" t="n">
        <v>12.5</v>
      </c>
      <c r="E40" s="262" t="n">
        <v>30.2</v>
      </c>
      <c r="F40" s="262" t="n">
        <v>181.2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4091</v>
      </c>
      <c r="C41" s="260" t="n">
        <v>12.5</v>
      </c>
      <c r="D41" s="259" t="s">
        <v>524</v>
      </c>
      <c r="E41" s="259" t="s">
        <v>524</v>
      </c>
      <c r="F41" s="259" t="s">
        <v>524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4094</v>
      </c>
      <c r="C42" s="262" t="n">
        <v>9</v>
      </c>
      <c r="D42" s="262" t="n">
        <v>13</v>
      </c>
      <c r="E42" s="262" t="n">
        <v>34.6</v>
      </c>
      <c r="F42" s="262" t="n">
        <v>207.6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4094</v>
      </c>
      <c r="C43" s="260" t="n">
        <v>11</v>
      </c>
      <c r="D43" s="260" t="n">
        <v>14.5</v>
      </c>
      <c r="E43" s="260" t="n">
        <v>40.2</v>
      </c>
      <c r="F43" s="260" t="n">
        <v>241.2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4100</v>
      </c>
      <c r="C44" s="262" t="n">
        <v>9</v>
      </c>
      <c r="D44" s="261" t="s">
        <v>524</v>
      </c>
      <c r="E44" s="262" t="n">
        <v>38.8</v>
      </c>
      <c r="F44" s="262" t="n">
        <v>232.8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4100</v>
      </c>
      <c r="C45" s="260" t="n">
        <v>11.5</v>
      </c>
      <c r="D45" s="259" t="s">
        <v>524</v>
      </c>
      <c r="E45" s="260" t="n">
        <v>48.2</v>
      </c>
      <c r="F45" s="260" t="n">
        <v>289.2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4107</v>
      </c>
      <c r="C46" s="262" t="n">
        <v>7.5</v>
      </c>
      <c r="D46" s="262" t="n">
        <v>13.5</v>
      </c>
      <c r="E46" s="262" t="n">
        <v>34.45</v>
      </c>
      <c r="F46" s="262" t="n">
        <v>206.7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4111</v>
      </c>
      <c r="C47" s="260" t="n">
        <v>9</v>
      </c>
      <c r="D47" s="260" t="n">
        <v>13</v>
      </c>
      <c r="E47" s="260" t="n">
        <v>38.1</v>
      </c>
      <c r="F47" s="260" t="n">
        <v>228.6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4111</v>
      </c>
      <c r="C48" s="262" t="n">
        <v>10</v>
      </c>
      <c r="D48" s="262" t="n">
        <v>15.5</v>
      </c>
      <c r="E48" s="262" t="n">
        <v>43.8</v>
      </c>
      <c r="F48" s="262" t="n">
        <v>262.8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4118</v>
      </c>
      <c r="C49" s="260" t="n">
        <v>10</v>
      </c>
      <c r="D49" s="260" t="n">
        <v>16</v>
      </c>
      <c r="E49" s="260" t="n">
        <v>46.83</v>
      </c>
      <c r="F49" s="260" t="n">
        <v>280.98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4118</v>
      </c>
      <c r="C50" s="262" t="n">
        <v>10.5</v>
      </c>
      <c r="D50" s="262" t="n">
        <v>16</v>
      </c>
      <c r="E50" s="262" t="n">
        <v>54.5</v>
      </c>
      <c r="F50" s="262" t="n">
        <v>327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4125</v>
      </c>
      <c r="C51" s="260" t="n">
        <v>10.5</v>
      </c>
      <c r="D51" s="260" t="n">
        <v>16</v>
      </c>
      <c r="E51" s="260" t="n">
        <v>54.5</v>
      </c>
      <c r="F51" s="260" t="n">
        <v>327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4125</v>
      </c>
      <c r="C52" s="262" t="n">
        <v>13</v>
      </c>
      <c r="D52" s="262" t="n">
        <v>16.5</v>
      </c>
      <c r="E52" s="262" t="n">
        <v>62</v>
      </c>
      <c r="F52" s="262" t="n">
        <v>372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7.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75" hidden="false" customHeight="true" outlineLevel="0" collapsed="false">
      <c r="A55" s="2"/>
      <c r="B55" s="257" t="s">
        <v>5926</v>
      </c>
      <c r="C55" s="257"/>
      <c r="D55" s="257"/>
      <c r="E55" s="25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58" t="s">
        <v>4131</v>
      </c>
      <c r="C56" s="258" t="s">
        <v>3638</v>
      </c>
      <c r="D56" s="258" t="s">
        <v>2196</v>
      </c>
      <c r="E56" s="258" t="s">
        <v>2197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63" t="n">
        <v>6</v>
      </c>
      <c r="C57" s="260" t="n">
        <v>28.3</v>
      </c>
      <c r="D57" s="260" t="n">
        <v>0.222</v>
      </c>
      <c r="E57" s="260" t="n">
        <v>1.332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4" t="n">
        <v>8</v>
      </c>
      <c r="C58" s="262" t="n">
        <v>50.3</v>
      </c>
      <c r="D58" s="262" t="n">
        <v>0.395</v>
      </c>
      <c r="E58" s="262" t="n">
        <v>2.37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63" t="n">
        <v>9</v>
      </c>
      <c r="C59" s="260" t="n">
        <v>63.6</v>
      </c>
      <c r="D59" s="260" t="n">
        <v>0.499</v>
      </c>
      <c r="E59" s="260" t="n">
        <v>2.994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4" t="n">
        <v>10</v>
      </c>
      <c r="C60" s="262" t="n">
        <v>78.5</v>
      </c>
      <c r="D60" s="262" t="n">
        <v>0.617</v>
      </c>
      <c r="E60" s="262" t="n">
        <v>3.702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63" t="n">
        <v>12</v>
      </c>
      <c r="C61" s="260" t="n">
        <v>113.1</v>
      </c>
      <c r="D61" s="260" t="n">
        <v>0.888</v>
      </c>
      <c r="E61" s="260" t="n">
        <v>5.328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4" t="n">
        <v>13</v>
      </c>
      <c r="C62" s="262" t="n">
        <v>132.7</v>
      </c>
      <c r="D62" s="262" t="n">
        <v>1.042</v>
      </c>
      <c r="E62" s="262" t="n">
        <v>6.252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63" t="n">
        <v>14</v>
      </c>
      <c r="C63" s="260" t="n">
        <v>153.9</v>
      </c>
      <c r="D63" s="260" t="n">
        <v>1.208</v>
      </c>
      <c r="E63" s="260" t="n">
        <v>7.248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4" t="n">
        <v>16</v>
      </c>
      <c r="C64" s="262" t="n">
        <v>201.1</v>
      </c>
      <c r="D64" s="262" t="n">
        <v>1.578</v>
      </c>
      <c r="E64" s="262" t="n">
        <v>9.468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63" t="n">
        <v>18</v>
      </c>
      <c r="C65" s="260" t="n">
        <v>254.5</v>
      </c>
      <c r="D65" s="260" t="n">
        <v>1.998</v>
      </c>
      <c r="E65" s="260" t="n">
        <v>11.988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4" t="n">
        <v>19</v>
      </c>
      <c r="C66" s="262" t="n">
        <v>283</v>
      </c>
      <c r="D66" s="262" t="n">
        <v>2.226</v>
      </c>
      <c r="E66" s="262" t="n">
        <v>13.356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63" t="n">
        <v>20</v>
      </c>
      <c r="C67" s="260" t="n">
        <v>314.2</v>
      </c>
      <c r="D67" s="260" t="n">
        <v>2.466</v>
      </c>
      <c r="E67" s="260" t="n">
        <v>14.796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4" t="n">
        <v>22</v>
      </c>
      <c r="C68" s="262" t="n">
        <v>380.1</v>
      </c>
      <c r="D68" s="262" t="n">
        <v>2.984</v>
      </c>
      <c r="E68" s="262" t="n">
        <v>17.904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63" t="n">
        <v>24</v>
      </c>
      <c r="C69" s="260" t="n">
        <v>452.2</v>
      </c>
      <c r="D69" s="260" t="n">
        <v>3.551</v>
      </c>
      <c r="E69" s="260" t="n">
        <v>21.306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4" t="n">
        <v>25</v>
      </c>
      <c r="C70" s="262" t="n">
        <v>490.9</v>
      </c>
      <c r="D70" s="262" t="n">
        <v>3.853</v>
      </c>
      <c r="E70" s="262" t="n">
        <v>23.118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63" t="n">
        <v>26</v>
      </c>
      <c r="C71" s="260" t="n">
        <v>530.7</v>
      </c>
      <c r="D71" s="260" t="n">
        <v>4.168</v>
      </c>
      <c r="E71" s="260" t="n">
        <v>25.008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4" t="n">
        <v>28</v>
      </c>
      <c r="C72" s="262" t="n">
        <v>615.8</v>
      </c>
      <c r="D72" s="262" t="n">
        <v>4.834</v>
      </c>
      <c r="E72" s="262" t="n">
        <v>29.004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63" t="n">
        <v>29</v>
      </c>
      <c r="C73" s="260" t="n">
        <v>660.2</v>
      </c>
      <c r="D73" s="260" t="n">
        <v>5.185</v>
      </c>
      <c r="E73" s="260" t="n">
        <v>31.11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4" t="n">
        <v>30</v>
      </c>
      <c r="C74" s="262" t="n">
        <v>706.5</v>
      </c>
      <c r="D74" s="262" t="n">
        <v>5.549</v>
      </c>
      <c r="E74" s="262" t="n">
        <v>33.294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63" t="n">
        <v>32</v>
      </c>
      <c r="C75" s="260" t="n">
        <v>804.2</v>
      </c>
      <c r="D75" s="260" t="n">
        <v>6.313</v>
      </c>
      <c r="E75" s="260" t="n">
        <v>37.878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4" t="n">
        <v>35</v>
      </c>
      <c r="C76" s="262" t="n">
        <v>962.1</v>
      </c>
      <c r="D76" s="262" t="n">
        <v>7.553</v>
      </c>
      <c r="E76" s="262" t="n">
        <v>45.318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63" t="n">
        <v>36</v>
      </c>
      <c r="C77" s="260" t="n">
        <v>1017.4</v>
      </c>
      <c r="D77" s="260" t="n">
        <v>7.99</v>
      </c>
      <c r="E77" s="260" t="n">
        <v>47.94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4" t="n">
        <v>38</v>
      </c>
      <c r="C78" s="262" t="n">
        <v>1134.1</v>
      </c>
      <c r="D78" s="262" t="n">
        <v>8.903</v>
      </c>
      <c r="E78" s="262" t="n">
        <v>53.418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63" t="n">
        <v>40</v>
      </c>
      <c r="C79" s="260" t="n">
        <v>1256.6</v>
      </c>
      <c r="D79" s="260" t="n">
        <v>9.865</v>
      </c>
      <c r="E79" s="260" t="n">
        <v>59.19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4" t="n">
        <v>50</v>
      </c>
      <c r="C80" s="262" t="n">
        <v>1960</v>
      </c>
      <c r="D80" s="262" t="n">
        <v>15.43</v>
      </c>
      <c r="E80" s="262" t="n">
        <v>92.58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1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7.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120" hidden="false" customHeight="true" outlineLevel="0" collapsed="false">
      <c r="A83" s="2"/>
      <c r="B83" s="255" t="s">
        <v>2336</v>
      </c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"/>
      <c r="P83" s="2"/>
    </row>
    <row r="84" customFormat="false" ht="120" hidden="false" customHeight="true" outlineLevel="0" collapsed="false">
      <c r="A84" s="2"/>
      <c r="B84" s="255" t="s">
        <v>1279</v>
      </c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"/>
      <c r="P84" s="2"/>
    </row>
  </sheetData>
  <autoFilter ref="B5:F84"/>
  <mergeCells count="6">
    <mergeCell ref="B2:P2"/>
    <mergeCell ref="B3:P3"/>
    <mergeCell ref="B5:F5"/>
    <mergeCell ref="B55:E55"/>
    <mergeCell ref="B83:N83"/>
    <mergeCell ref="B84:N8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P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4" min="3" style="1" width="12"/>
    <col collapsed="false" customWidth="true" hidden="false" outlineLevel="0" max="6" min="5" style="1" width="10"/>
    <col collapsed="false" customWidth="true" hidden="false" outlineLevel="0" max="8" min="7" style="1" width="12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5927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75" hidden="false" customHeight="true" outlineLevel="0" collapsed="false">
      <c r="A3" s="2"/>
      <c r="B3" s="250" t="s">
        <v>4215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4216</v>
      </c>
      <c r="C5" s="257"/>
      <c r="D5" s="257"/>
      <c r="E5" s="257"/>
      <c r="F5" s="257"/>
      <c r="G5" s="257"/>
      <c r="H5" s="257"/>
      <c r="I5" s="257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4217</v>
      </c>
      <c r="C6" s="258" t="s">
        <v>4218</v>
      </c>
      <c r="D6" s="258" t="s">
        <v>4219</v>
      </c>
      <c r="E6" s="258" t="s">
        <v>4220</v>
      </c>
      <c r="F6" s="258" t="s">
        <v>4221</v>
      </c>
      <c r="G6" s="258" t="s">
        <v>5928</v>
      </c>
      <c r="H6" s="258" t="s">
        <v>5929</v>
      </c>
      <c r="I6" s="258" t="s">
        <v>5930</v>
      </c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4223</v>
      </c>
      <c r="C7" s="259" t="s">
        <v>1959</v>
      </c>
      <c r="D7" s="260" t="n">
        <v>44.64</v>
      </c>
      <c r="E7" s="260" t="n">
        <v>8.85</v>
      </c>
      <c r="F7" s="260" t="n">
        <v>57.1</v>
      </c>
      <c r="G7" s="260" t="n">
        <v>265.9</v>
      </c>
      <c r="H7" s="260" t="n">
        <v>147.8</v>
      </c>
      <c r="I7" s="260" t="n">
        <v>12.9</v>
      </c>
      <c r="J7" s="260" t="n">
        <v>7.62</v>
      </c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4228</v>
      </c>
      <c r="C8" s="261" t="s">
        <v>577</v>
      </c>
      <c r="D8" s="262" t="n">
        <v>38.69</v>
      </c>
      <c r="E8" s="262" t="n">
        <v>7.61</v>
      </c>
      <c r="F8" s="262" t="n">
        <v>49.1</v>
      </c>
      <c r="G8" s="262" t="n">
        <v>262.4</v>
      </c>
      <c r="H8" s="262" t="n">
        <v>146.6</v>
      </c>
      <c r="I8" s="262" t="n">
        <v>11.1</v>
      </c>
      <c r="J8" s="262" t="n">
        <v>6.6</v>
      </c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4228</v>
      </c>
      <c r="C9" s="259" t="s">
        <v>579</v>
      </c>
      <c r="D9" s="260" t="n">
        <v>32.74</v>
      </c>
      <c r="E9" s="260" t="n">
        <v>6.49</v>
      </c>
      <c r="F9" s="260" t="n">
        <v>41.87</v>
      </c>
      <c r="G9" s="260" t="n">
        <v>258.3</v>
      </c>
      <c r="H9" s="260" t="n">
        <v>146</v>
      </c>
      <c r="I9" s="260" t="n">
        <v>6.1</v>
      </c>
      <c r="J9" s="259" t="s">
        <v>524</v>
      </c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4236</v>
      </c>
      <c r="C10" s="261" t="s">
        <v>580</v>
      </c>
      <c r="D10" s="262" t="n">
        <v>28.28</v>
      </c>
      <c r="E10" s="262" t="n">
        <v>5.62</v>
      </c>
      <c r="F10" s="262" t="n">
        <v>36.62</v>
      </c>
      <c r="G10" s="262" t="n">
        <v>260.1</v>
      </c>
      <c r="H10" s="262" t="n">
        <v>102.1</v>
      </c>
      <c r="I10" s="262" t="n">
        <v>10</v>
      </c>
      <c r="J10" s="262" t="n">
        <v>6.35</v>
      </c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4241</v>
      </c>
      <c r="C11" s="259" t="s">
        <v>2061</v>
      </c>
      <c r="D11" s="260" t="n">
        <v>22.32</v>
      </c>
      <c r="E11" s="260" t="n">
        <v>4.41</v>
      </c>
      <c r="F11" s="260" t="n">
        <v>28.45</v>
      </c>
      <c r="G11" s="260" t="n">
        <v>253.7</v>
      </c>
      <c r="H11" s="260" t="n">
        <v>101.6</v>
      </c>
      <c r="I11" s="260" t="n">
        <v>6.88</v>
      </c>
      <c r="J11" s="260" t="n">
        <v>5.84</v>
      </c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4241</v>
      </c>
      <c r="C12" s="261" t="s">
        <v>2115</v>
      </c>
      <c r="D12" s="262" t="n">
        <v>17.86</v>
      </c>
      <c r="E12" s="262" t="n">
        <v>3.54</v>
      </c>
      <c r="F12" s="262" t="n">
        <v>22.84</v>
      </c>
      <c r="G12" s="262" t="n">
        <v>250.7</v>
      </c>
      <c r="H12" s="262" t="n">
        <v>101.6</v>
      </c>
      <c r="I12" s="262" t="n">
        <v>5.33</v>
      </c>
      <c r="J12" s="262" t="n">
        <v>4.83</v>
      </c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4249</v>
      </c>
      <c r="C13" s="259" t="s">
        <v>4250</v>
      </c>
      <c r="D13" s="260" t="n">
        <v>99.71</v>
      </c>
      <c r="E13" s="260" t="n">
        <v>19.7</v>
      </c>
      <c r="F13" s="260" t="n">
        <v>127.1</v>
      </c>
      <c r="G13" s="260" t="n">
        <v>228.6</v>
      </c>
      <c r="H13" s="260" t="n">
        <v>210.3</v>
      </c>
      <c r="I13" s="260" t="n">
        <v>23.75</v>
      </c>
      <c r="J13" s="260" t="n">
        <v>14.48</v>
      </c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4254</v>
      </c>
      <c r="C14" s="261" t="s">
        <v>4255</v>
      </c>
      <c r="D14" s="262" t="n">
        <v>86.31</v>
      </c>
      <c r="E14" s="262" t="n">
        <v>17.1</v>
      </c>
      <c r="F14" s="262" t="n">
        <v>110.3</v>
      </c>
      <c r="G14" s="262" t="n">
        <v>222.2</v>
      </c>
      <c r="H14" s="262" t="n">
        <v>208.8</v>
      </c>
      <c r="I14" s="262" t="n">
        <v>20.57</v>
      </c>
      <c r="J14" s="262" t="n">
        <v>12.95</v>
      </c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4254</v>
      </c>
      <c r="C15" s="259" t="s">
        <v>3798</v>
      </c>
      <c r="D15" s="260" t="n">
        <v>71.43</v>
      </c>
      <c r="E15" s="260" t="n">
        <v>14.1</v>
      </c>
      <c r="F15" s="260" t="n">
        <v>90.97</v>
      </c>
      <c r="G15" s="260" t="n">
        <v>215.9</v>
      </c>
      <c r="H15" s="260" t="n">
        <v>206</v>
      </c>
      <c r="I15" s="260" t="n">
        <v>17.4</v>
      </c>
      <c r="J15" s="260" t="n">
        <v>10.16</v>
      </c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4254</v>
      </c>
      <c r="C16" s="261" t="s">
        <v>492</v>
      </c>
      <c r="D16" s="262" t="n">
        <v>59.53</v>
      </c>
      <c r="E16" s="262" t="n">
        <v>11.7</v>
      </c>
      <c r="F16" s="262" t="n">
        <v>75.48</v>
      </c>
      <c r="G16" s="262" t="n">
        <v>209.5</v>
      </c>
      <c r="H16" s="262" t="n">
        <v>205</v>
      </c>
      <c r="I16" s="262" t="n">
        <v>14.2</v>
      </c>
      <c r="J16" s="262" t="n">
        <v>9.14</v>
      </c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4254</v>
      </c>
      <c r="C17" s="259" t="s">
        <v>2187</v>
      </c>
      <c r="D17" s="260" t="n">
        <v>52.09</v>
      </c>
      <c r="E17" s="260" t="n">
        <v>10.3</v>
      </c>
      <c r="F17" s="260" t="n">
        <v>66.45</v>
      </c>
      <c r="G17" s="260" t="n">
        <v>206.2</v>
      </c>
      <c r="H17" s="260" t="n">
        <v>203.7</v>
      </c>
      <c r="I17" s="260" t="n">
        <v>12.5</v>
      </c>
      <c r="J17" s="260" t="n">
        <v>7.87</v>
      </c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4254</v>
      </c>
      <c r="C18" s="261" t="s">
        <v>4269</v>
      </c>
      <c r="D18" s="262" t="n">
        <v>46.13</v>
      </c>
      <c r="E18" s="262" t="n">
        <v>9.12</v>
      </c>
      <c r="F18" s="262" t="n">
        <v>58.84</v>
      </c>
      <c r="G18" s="262" t="n">
        <v>203.2</v>
      </c>
      <c r="H18" s="262" t="n">
        <v>203.1</v>
      </c>
      <c r="I18" s="262" t="n">
        <v>11</v>
      </c>
      <c r="J18" s="262" t="n">
        <v>7.24</v>
      </c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4274</v>
      </c>
      <c r="C19" s="259" t="s">
        <v>2180</v>
      </c>
      <c r="D19" s="260" t="n">
        <v>41.67</v>
      </c>
      <c r="E19" s="260" t="n">
        <v>8.25</v>
      </c>
      <c r="F19" s="260" t="n">
        <v>53.23</v>
      </c>
      <c r="G19" s="260" t="n">
        <v>204.7</v>
      </c>
      <c r="H19" s="260" t="n">
        <v>165</v>
      </c>
      <c r="I19" s="260" t="n">
        <v>11.81</v>
      </c>
      <c r="J19" s="260" t="n">
        <v>7.24</v>
      </c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4279</v>
      </c>
      <c r="C20" s="261" t="s">
        <v>583</v>
      </c>
      <c r="D20" s="262" t="n">
        <v>35.72</v>
      </c>
      <c r="E20" s="262" t="n">
        <v>7.08</v>
      </c>
      <c r="F20" s="262" t="n">
        <v>45.68</v>
      </c>
      <c r="G20" s="262" t="n">
        <v>201.4</v>
      </c>
      <c r="H20" s="262" t="n">
        <v>165</v>
      </c>
      <c r="I20" s="262" t="n">
        <v>10.16</v>
      </c>
      <c r="J20" s="262" t="n">
        <v>6.22</v>
      </c>
      <c r="K20" s="2"/>
      <c r="L20" s="2"/>
      <c r="M20" s="2"/>
      <c r="N20" s="2"/>
      <c r="O20" s="2"/>
      <c r="P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7.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7" t="s">
        <v>5931</v>
      </c>
      <c r="C23" s="257"/>
      <c r="D23" s="25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58" t="s">
        <v>4284</v>
      </c>
      <c r="C24" s="258" t="s">
        <v>4285</v>
      </c>
      <c r="D24" s="258" t="s">
        <v>4286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4288</v>
      </c>
      <c r="C25" s="259" t="s">
        <v>4289</v>
      </c>
      <c r="D25" s="260" t="n">
        <v>1.221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4288</v>
      </c>
      <c r="C26" s="261" t="s">
        <v>3904</v>
      </c>
      <c r="D26" s="262" t="n">
        <v>1.742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4294</v>
      </c>
      <c r="C27" s="259" t="s">
        <v>4289</v>
      </c>
      <c r="D27" s="260" t="n">
        <v>1.534</v>
      </c>
      <c r="E27" s="2"/>
      <c r="F27" s="2"/>
      <c r="G27" s="2"/>
      <c r="H27" s="2"/>
      <c r="I27" s="2"/>
      <c r="J27" s="2"/>
      <c r="K27" s="2"/>
      <c r="L27" s="2"/>
      <c r="M27" s="2"/>
      <c r="N27" s="265" t="s">
        <v>5932</v>
      </c>
      <c r="O27" s="2"/>
      <c r="P27" s="2"/>
    </row>
    <row r="28" customFormat="false" ht="30" hidden="false" customHeight="true" outlineLevel="0" collapsed="false">
      <c r="A28" s="2"/>
      <c r="B28" s="261" t="s">
        <v>4294</v>
      </c>
      <c r="C28" s="261" t="s">
        <v>3904</v>
      </c>
      <c r="D28" s="262" t="n">
        <v>2.218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4299</v>
      </c>
      <c r="C29" s="259" t="s">
        <v>4300</v>
      </c>
      <c r="D29" s="260" t="n">
        <v>4.153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4303</v>
      </c>
      <c r="C30" s="261" t="s">
        <v>3914</v>
      </c>
      <c r="D30" s="262" t="n">
        <v>5.076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4303</v>
      </c>
      <c r="C31" s="259" t="s">
        <v>4300</v>
      </c>
      <c r="D31" s="260" t="n">
        <v>4.794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4303</v>
      </c>
      <c r="C32" s="261" t="s">
        <v>3914</v>
      </c>
      <c r="D32" s="262" t="n">
        <v>5.88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4303</v>
      </c>
      <c r="C33" s="259" t="s">
        <v>3918</v>
      </c>
      <c r="D33" s="260" t="n">
        <v>6.907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4312</v>
      </c>
      <c r="C34" s="261" t="s">
        <v>4300</v>
      </c>
      <c r="D34" s="262" t="n">
        <v>6.059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4312</v>
      </c>
      <c r="C35" s="259" t="s">
        <v>3914</v>
      </c>
      <c r="D35" s="260" t="n">
        <v>7.458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4312</v>
      </c>
      <c r="C36" s="261" t="s">
        <v>3918</v>
      </c>
      <c r="D36" s="262" t="n">
        <v>8.813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4319</v>
      </c>
      <c r="C37" s="259" t="s">
        <v>3918</v>
      </c>
      <c r="D37" s="260" t="n">
        <v>10.732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4322</v>
      </c>
      <c r="C38" s="261" t="s">
        <v>3918</v>
      </c>
      <c r="D38" s="262" t="n">
        <v>14.544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4322</v>
      </c>
      <c r="C39" s="259" t="s">
        <v>2679</v>
      </c>
      <c r="D39" s="260" t="n">
        <v>19.055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7.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05" hidden="false" customHeight="true" outlineLevel="0" collapsed="false">
      <c r="A42" s="2"/>
      <c r="B42" s="255" t="s">
        <v>4327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"/>
      <c r="P42" s="2"/>
    </row>
    <row r="43" customFormat="false" ht="90" hidden="false" customHeight="true" outlineLevel="0" collapsed="false">
      <c r="A43" s="2"/>
      <c r="B43" s="255" t="s">
        <v>1279</v>
      </c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"/>
      <c r="P43" s="2"/>
    </row>
  </sheetData>
  <autoFilter ref="B5:F43"/>
  <mergeCells count="6">
    <mergeCell ref="B2:P2"/>
    <mergeCell ref="B3:P3"/>
    <mergeCell ref="B5:I5"/>
    <mergeCell ref="B23:D23"/>
    <mergeCell ref="B42:N42"/>
    <mergeCell ref="B43:N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274"/>
    <pageSetUpPr fitToPage="false"/>
  </sheetPr>
  <dimension ref="A1:P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12"/>
    <col collapsed="false" customWidth="true" hidden="false" outlineLevel="0" max="7" min="7" style="1" width="16"/>
    <col collapsed="false" customWidth="true" hidden="false" outlineLevel="0" max="8" min="8" style="1" width="14"/>
    <col collapsed="false" customWidth="true" hidden="false" outlineLevel="0" max="9" min="9" style="1" width="16"/>
    <col collapsed="false" customWidth="true" hidden="false" outlineLevel="0" max="10" min="10" style="1" width="11"/>
    <col collapsed="false" customWidth="true" hidden="false" outlineLevel="0" max="11" min="11" style="1" width="10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5933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4329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4330</v>
      </c>
      <c r="C5" s="257"/>
      <c r="D5" s="257"/>
      <c r="E5" s="257"/>
      <c r="F5" s="257"/>
      <c r="G5" s="257"/>
      <c r="H5" s="257"/>
      <c r="I5" s="257"/>
      <c r="J5" s="257"/>
      <c r="K5" s="257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4331</v>
      </c>
      <c r="C6" s="258" t="s">
        <v>4332</v>
      </c>
      <c r="D6" s="258" t="s">
        <v>4333</v>
      </c>
      <c r="E6" s="258" t="s">
        <v>4334</v>
      </c>
      <c r="F6" s="258" t="s">
        <v>4335</v>
      </c>
      <c r="G6" s="258" t="s">
        <v>5934</v>
      </c>
      <c r="H6" s="258" t="s">
        <v>5935</v>
      </c>
      <c r="I6" s="258" t="s">
        <v>5936</v>
      </c>
      <c r="J6" s="258" t="s">
        <v>5937</v>
      </c>
      <c r="K6" s="258" t="s">
        <v>5938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0" t="n">
        <v>0.3</v>
      </c>
      <c r="C7" s="260" t="n">
        <v>7.724</v>
      </c>
      <c r="D7" s="260" t="n">
        <v>17.028</v>
      </c>
      <c r="E7" s="260" t="n">
        <v>129.5</v>
      </c>
      <c r="F7" s="260" t="n">
        <v>7.905</v>
      </c>
      <c r="G7" s="260" t="n">
        <v>17.428</v>
      </c>
      <c r="H7" s="260" t="n">
        <v>126.5</v>
      </c>
      <c r="I7" s="260" t="n">
        <v>8.131</v>
      </c>
      <c r="J7" s="260" t="n">
        <v>17.926</v>
      </c>
      <c r="K7" s="260" t="n">
        <v>123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2" t="n">
        <v>0.5</v>
      </c>
      <c r="C8" s="262" t="n">
        <v>12.39</v>
      </c>
      <c r="D8" s="262" t="n">
        <v>27.315</v>
      </c>
      <c r="E8" s="262" t="n">
        <v>80.7</v>
      </c>
      <c r="F8" s="262" t="n">
        <v>12.571</v>
      </c>
      <c r="G8" s="262" t="n">
        <v>27.715</v>
      </c>
      <c r="H8" s="262" t="n">
        <v>79.5</v>
      </c>
      <c r="I8" s="262" t="n">
        <v>12.797</v>
      </c>
      <c r="J8" s="262" t="n">
        <v>28.212</v>
      </c>
      <c r="K8" s="262" t="n">
        <v>78.1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0" t="n">
        <v>0.55</v>
      </c>
      <c r="C9" s="260" t="n">
        <v>13.556</v>
      </c>
      <c r="D9" s="260" t="n">
        <v>29.886</v>
      </c>
      <c r="E9" s="260" t="n">
        <v>73.8</v>
      </c>
      <c r="F9" s="260" t="n">
        <v>13.738</v>
      </c>
      <c r="G9" s="260" t="n">
        <v>30.286</v>
      </c>
      <c r="H9" s="260" t="n">
        <v>72.8</v>
      </c>
      <c r="I9" s="260" t="n">
        <v>13.964</v>
      </c>
      <c r="J9" s="260" t="n">
        <v>30.784</v>
      </c>
      <c r="K9" s="260" t="n">
        <v>71.6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2" t="n">
        <v>0.8</v>
      </c>
      <c r="C10" s="262" t="n">
        <v>19.389</v>
      </c>
      <c r="D10" s="262" t="n">
        <v>42.745</v>
      </c>
      <c r="E10" s="262" t="n">
        <v>51.6</v>
      </c>
      <c r="F10" s="262" t="n">
        <v>19.57</v>
      </c>
      <c r="G10" s="262" t="n">
        <v>43.114</v>
      </c>
      <c r="H10" s="262" t="n">
        <v>51.1</v>
      </c>
      <c r="I10" s="262" t="n">
        <v>19.796</v>
      </c>
      <c r="J10" s="262" t="n">
        <v>43.642</v>
      </c>
      <c r="K10" s="262" t="n">
        <v>50.5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0" t="n">
        <v>1</v>
      </c>
      <c r="C11" s="260" t="n">
        <v>24.055</v>
      </c>
      <c r="D11" s="260" t="n">
        <v>53.031</v>
      </c>
      <c r="E11" s="260" t="n">
        <v>41.6</v>
      </c>
      <c r="F11" s="260" t="n">
        <v>24.236</v>
      </c>
      <c r="G11" s="260" t="n">
        <v>53.431</v>
      </c>
      <c r="H11" s="260" t="n">
        <v>41.3</v>
      </c>
      <c r="I11" s="260" t="n">
        <v>24.462</v>
      </c>
      <c r="J11" s="260" t="n">
        <v>53.929</v>
      </c>
      <c r="K11" s="260" t="n">
        <v>40.9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2" t="n">
        <v>1.1</v>
      </c>
      <c r="C12" s="262" t="n">
        <v>26.388</v>
      </c>
      <c r="D12" s="262" t="n">
        <v>58.174</v>
      </c>
      <c r="E12" s="262" t="n">
        <v>37.9</v>
      </c>
      <c r="F12" s="262" t="n">
        <v>26.569</v>
      </c>
      <c r="G12" s="262" t="n">
        <v>58.574</v>
      </c>
      <c r="H12" s="262" t="n">
        <v>37.6</v>
      </c>
      <c r="I12" s="262" t="n">
        <v>26.795</v>
      </c>
      <c r="J12" s="262" t="n">
        <v>59.072</v>
      </c>
      <c r="K12" s="262" t="n">
        <v>37.3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0" t="n">
        <v>1.2</v>
      </c>
      <c r="C13" s="260" t="n">
        <v>28.721</v>
      </c>
      <c r="D13" s="260" t="n">
        <v>63.318</v>
      </c>
      <c r="E13" s="260" t="n">
        <v>34.8</v>
      </c>
      <c r="F13" s="260" t="n">
        <v>28.902</v>
      </c>
      <c r="G13" s="260" t="n">
        <v>63.718</v>
      </c>
      <c r="H13" s="260" t="n">
        <v>34.6</v>
      </c>
      <c r="I13" s="260" t="n">
        <v>29.128</v>
      </c>
      <c r="J13" s="260" t="n">
        <v>64.215</v>
      </c>
      <c r="K13" s="260" t="n">
        <v>34.3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2" t="n">
        <v>1.55</v>
      </c>
      <c r="C14" s="262" t="n">
        <v>36.886</v>
      </c>
      <c r="D14" s="262" t="n">
        <v>81.319</v>
      </c>
      <c r="E14" s="262" t="n">
        <v>27.1</v>
      </c>
      <c r="F14" s="262" t="n">
        <v>37.067</v>
      </c>
      <c r="G14" s="262" t="n">
        <v>81.719</v>
      </c>
      <c r="H14" s="262" t="n">
        <v>27</v>
      </c>
      <c r="I14" s="262" t="n">
        <v>37.293</v>
      </c>
      <c r="J14" s="262" t="n">
        <v>82.217</v>
      </c>
      <c r="K14" s="262" t="n">
        <v>26.8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0" t="n">
        <v>1.6</v>
      </c>
      <c r="C15" s="260" t="n">
        <v>38.052</v>
      </c>
      <c r="D15" s="260" t="n">
        <v>83.891</v>
      </c>
      <c r="E15" s="260" t="n">
        <v>26.3</v>
      </c>
      <c r="F15" s="260" t="n">
        <v>38.234</v>
      </c>
      <c r="G15" s="260" t="n">
        <v>84.29</v>
      </c>
      <c r="H15" s="260" t="n">
        <v>26.2</v>
      </c>
      <c r="I15" s="260" t="n">
        <v>38.46</v>
      </c>
      <c r="J15" s="260" t="n">
        <v>84.788</v>
      </c>
      <c r="K15" s="260" t="n">
        <v>26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2" t="n">
        <v>1.9</v>
      </c>
      <c r="C16" s="262" t="n">
        <v>45.051</v>
      </c>
      <c r="D16" s="262" t="n">
        <v>99.32</v>
      </c>
      <c r="E16" s="262" t="n">
        <v>22.2</v>
      </c>
      <c r="F16" s="262" t="n">
        <v>45.233</v>
      </c>
      <c r="G16" s="262" t="n">
        <v>99.72</v>
      </c>
      <c r="H16" s="262" t="n">
        <v>22.1</v>
      </c>
      <c r="I16" s="262" t="n">
        <v>45.459</v>
      </c>
      <c r="J16" s="262" t="n">
        <v>100.218</v>
      </c>
      <c r="K16" s="262" t="n">
        <v>22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0" t="n">
        <v>2</v>
      </c>
      <c r="C17" s="260" t="n">
        <v>47.384</v>
      </c>
      <c r="D17" s="260" t="n">
        <v>104.463</v>
      </c>
      <c r="E17" s="260" t="n">
        <v>21.1</v>
      </c>
      <c r="F17" s="260" t="n">
        <v>47.566</v>
      </c>
      <c r="G17" s="260" t="n">
        <v>104.863</v>
      </c>
      <c r="H17" s="260" t="n">
        <v>21</v>
      </c>
      <c r="I17" s="260" t="n">
        <v>47.791</v>
      </c>
      <c r="J17" s="260" t="n">
        <v>105.361</v>
      </c>
      <c r="K17" s="260" t="n">
        <v>20.9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2" t="n">
        <v>2.3</v>
      </c>
      <c r="C18" s="262" t="n">
        <v>54.383</v>
      </c>
      <c r="D18" s="262" t="n">
        <v>119.893</v>
      </c>
      <c r="E18" s="262" t="n">
        <v>18.4</v>
      </c>
      <c r="F18" s="262" t="n">
        <v>54.564</v>
      </c>
      <c r="G18" s="262" t="n">
        <v>120.293</v>
      </c>
      <c r="H18" s="262" t="n">
        <v>18.3</v>
      </c>
      <c r="I18" s="262" t="n">
        <v>54.79</v>
      </c>
      <c r="J18" s="262" t="n">
        <v>120.791</v>
      </c>
      <c r="K18" s="262" t="n">
        <v>18.3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0" t="n">
        <v>2.8</v>
      </c>
      <c r="C19" s="260" t="n">
        <v>66.048</v>
      </c>
      <c r="D19" s="260" t="n">
        <v>145.609</v>
      </c>
      <c r="E19" s="260" t="n">
        <v>15.1</v>
      </c>
      <c r="F19" s="260" t="n">
        <v>66.229</v>
      </c>
      <c r="G19" s="260" t="n">
        <v>146.009</v>
      </c>
      <c r="H19" s="260" t="n">
        <v>15.1</v>
      </c>
      <c r="I19" s="260" t="n">
        <v>66.455</v>
      </c>
      <c r="J19" s="260" t="n">
        <v>146.507</v>
      </c>
      <c r="K19" s="260" t="n">
        <v>15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2" t="n">
        <v>2.9</v>
      </c>
      <c r="C20" s="262" t="n">
        <v>68.381</v>
      </c>
      <c r="D20" s="262" t="n">
        <v>150.753</v>
      </c>
      <c r="E20" s="262" t="n">
        <v>14.6</v>
      </c>
      <c r="F20" s="262" t="n">
        <v>68.562</v>
      </c>
      <c r="G20" s="262" t="n">
        <v>151.152</v>
      </c>
      <c r="H20" s="262" t="n">
        <v>14.6</v>
      </c>
      <c r="I20" s="262" t="n">
        <v>68.788</v>
      </c>
      <c r="J20" s="262" t="n">
        <v>151.65</v>
      </c>
      <c r="K20" s="262" t="n">
        <v>14.5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0" t="n">
        <v>3</v>
      </c>
      <c r="C21" s="260" t="n">
        <v>70.714</v>
      </c>
      <c r="D21" s="260" t="n">
        <v>155.896</v>
      </c>
      <c r="E21" s="260" t="n">
        <v>14.1</v>
      </c>
      <c r="F21" s="260" t="n">
        <v>70.895</v>
      </c>
      <c r="G21" s="260" t="n">
        <v>156.296</v>
      </c>
      <c r="H21" s="260" t="n">
        <v>14.1</v>
      </c>
      <c r="I21" s="260" t="n">
        <v>71.121</v>
      </c>
      <c r="J21" s="260" t="n">
        <v>156.794</v>
      </c>
      <c r="K21" s="260" t="n">
        <v>14.1</v>
      </c>
      <c r="L21" s="2"/>
      <c r="M21" s="2"/>
      <c r="N21" s="265" t="s">
        <v>5939</v>
      </c>
      <c r="O21" s="2"/>
      <c r="P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7.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60" hidden="false" customHeight="true" outlineLevel="0" collapsed="false">
      <c r="A24" s="2"/>
      <c r="B24" s="257" t="s">
        <v>4408</v>
      </c>
      <c r="C24" s="257"/>
      <c r="D24" s="257"/>
      <c r="E24" s="25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8" t="s">
        <v>4409</v>
      </c>
      <c r="C25" s="258" t="s">
        <v>1807</v>
      </c>
      <c r="D25" s="258" t="s">
        <v>4410</v>
      </c>
      <c r="E25" s="258" t="s">
        <v>4411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59" t="s">
        <v>4413</v>
      </c>
      <c r="C26" s="260" t="n">
        <v>0.5</v>
      </c>
      <c r="D26" s="259" t="s">
        <v>4414</v>
      </c>
      <c r="E26" s="260" t="n">
        <v>11.668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1" t="s">
        <v>4417</v>
      </c>
      <c r="C27" s="262" t="n">
        <v>0.55</v>
      </c>
      <c r="D27" s="261" t="s">
        <v>4414</v>
      </c>
      <c r="E27" s="262" t="n">
        <v>12.836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59" t="s">
        <v>4420</v>
      </c>
      <c r="C28" s="260" t="n">
        <v>0.7</v>
      </c>
      <c r="D28" s="259" t="s">
        <v>4414</v>
      </c>
      <c r="E28" s="260" t="n">
        <v>16.336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1" t="s">
        <v>4423</v>
      </c>
      <c r="C29" s="262" t="n">
        <v>0.8</v>
      </c>
      <c r="D29" s="261" t="s">
        <v>4414</v>
      </c>
      <c r="E29" s="262" t="n">
        <v>18.67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59" t="s">
        <v>4426</v>
      </c>
      <c r="C30" s="260" t="n">
        <v>0.9</v>
      </c>
      <c r="D30" s="259" t="s">
        <v>4414</v>
      </c>
      <c r="E30" s="260" t="n">
        <v>21.004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1" t="s">
        <v>4430</v>
      </c>
      <c r="C31" s="262" t="n">
        <v>1</v>
      </c>
      <c r="D31" s="261" t="s">
        <v>4414</v>
      </c>
      <c r="E31" s="262" t="n">
        <v>23.338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59" t="s">
        <v>4433</v>
      </c>
      <c r="C32" s="260" t="n">
        <v>1.2</v>
      </c>
      <c r="D32" s="259" t="s">
        <v>4414</v>
      </c>
      <c r="E32" s="260" t="n">
        <v>28.005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61" t="s">
        <v>4436</v>
      </c>
      <c r="C33" s="262" t="n">
        <v>1.5</v>
      </c>
      <c r="D33" s="261" t="s">
        <v>4414</v>
      </c>
      <c r="E33" s="262" t="n">
        <v>35.006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59" t="s">
        <v>4439</v>
      </c>
      <c r="C34" s="260" t="n">
        <v>1.6</v>
      </c>
      <c r="D34" s="259" t="s">
        <v>4414</v>
      </c>
      <c r="E34" s="260" t="n">
        <v>37.34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61" t="s">
        <v>4442</v>
      </c>
      <c r="C35" s="262" t="n">
        <v>1.9</v>
      </c>
      <c r="D35" s="261" t="s">
        <v>4414</v>
      </c>
      <c r="E35" s="262" t="n">
        <v>44.341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59" t="s">
        <v>4445</v>
      </c>
      <c r="C36" s="260" t="n">
        <v>2</v>
      </c>
      <c r="D36" s="259" t="s">
        <v>4414</v>
      </c>
      <c r="E36" s="260" t="n">
        <v>46.758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61" t="s">
        <v>4448</v>
      </c>
      <c r="C37" s="262" t="n">
        <v>2.3</v>
      </c>
      <c r="D37" s="261" t="s">
        <v>4414</v>
      </c>
      <c r="E37" s="262" t="n">
        <v>53.678</v>
      </c>
      <c r="F37" s="2"/>
      <c r="G37" s="2"/>
      <c r="H37" s="2"/>
      <c r="I37" s="2"/>
      <c r="J37" s="2"/>
      <c r="K37" s="2"/>
      <c r="L37" s="2"/>
      <c r="M37" s="2"/>
      <c r="N37" s="265" t="s">
        <v>5940</v>
      </c>
      <c r="O37" s="2"/>
      <c r="P37" s="2"/>
    </row>
    <row r="38" customFormat="false" ht="30" hidden="false" customHeight="true" outlineLevel="0" collapsed="false">
      <c r="A38" s="2"/>
      <c r="B38" s="259" t="s">
        <v>4451</v>
      </c>
      <c r="C38" s="260" t="n">
        <v>2.5</v>
      </c>
      <c r="D38" s="259" t="s">
        <v>4414</v>
      </c>
      <c r="E38" s="260" t="n">
        <v>58.344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61" t="s">
        <v>4454</v>
      </c>
      <c r="C39" s="262" t="n">
        <v>2.9</v>
      </c>
      <c r="D39" s="261" t="s">
        <v>4414</v>
      </c>
      <c r="E39" s="262" t="n">
        <v>67.679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59" t="s">
        <v>4457</v>
      </c>
      <c r="C40" s="260" t="n">
        <v>3</v>
      </c>
      <c r="D40" s="259" t="s">
        <v>4414</v>
      </c>
      <c r="E40" s="260" t="n">
        <v>70.013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7.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45" hidden="false" customHeight="true" outlineLevel="0" collapsed="false">
      <c r="A43" s="2"/>
      <c r="B43" s="257" t="s">
        <v>5941</v>
      </c>
      <c r="C43" s="257"/>
      <c r="D43" s="257"/>
      <c r="E43" s="257"/>
      <c r="F43" s="257"/>
      <c r="G43" s="257"/>
      <c r="H43" s="257"/>
      <c r="I43" s="257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58" t="s">
        <v>659</v>
      </c>
      <c r="C44" s="258" t="s">
        <v>4461</v>
      </c>
      <c r="D44" s="258" t="s">
        <v>4462</v>
      </c>
      <c r="E44" s="258" t="s">
        <v>4463</v>
      </c>
      <c r="F44" s="258" t="s">
        <v>4464</v>
      </c>
      <c r="G44" s="258" t="s">
        <v>5942</v>
      </c>
      <c r="H44" s="258" t="s">
        <v>5943</v>
      </c>
      <c r="I44" s="258" t="s">
        <v>5944</v>
      </c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4466</v>
      </c>
      <c r="C45" s="263" t="n">
        <v>100</v>
      </c>
      <c r="D45" s="260" t="n">
        <v>25.4</v>
      </c>
      <c r="E45" s="259" t="s">
        <v>4467</v>
      </c>
      <c r="F45" s="263" t="n">
        <v>9</v>
      </c>
      <c r="G45" s="263" t="n">
        <v>325</v>
      </c>
      <c r="H45" s="263" t="n">
        <v>24</v>
      </c>
      <c r="I45" s="263" t="n">
        <v>925</v>
      </c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4469</v>
      </c>
      <c r="C46" s="264" t="n">
        <v>100</v>
      </c>
      <c r="D46" s="262" t="n">
        <v>31.7</v>
      </c>
      <c r="E46" s="261" t="s">
        <v>4471</v>
      </c>
      <c r="F46" s="264" t="n">
        <v>9</v>
      </c>
      <c r="G46" s="264" t="n">
        <v>325</v>
      </c>
      <c r="H46" s="264" t="n">
        <v>24</v>
      </c>
      <c r="I46" s="264" t="n">
        <v>925</v>
      </c>
      <c r="J46" s="2"/>
      <c r="K46" s="2"/>
      <c r="L46" s="2"/>
      <c r="M46" s="2"/>
      <c r="N46" s="2"/>
      <c r="O46" s="2"/>
      <c r="P46" s="2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7.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05" hidden="false" customHeight="true" outlineLevel="0" collapsed="false">
      <c r="A49" s="2"/>
      <c r="B49" s="255" t="s">
        <v>4473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"/>
      <c r="P49" s="2"/>
    </row>
    <row r="50" customFormat="false" ht="90" hidden="false" customHeight="true" outlineLevel="0" collapsed="false">
      <c r="A50" s="2"/>
      <c r="B50" s="255" t="s">
        <v>1279</v>
      </c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"/>
      <c r="P50" s="2"/>
    </row>
  </sheetData>
  <autoFilter ref="B5:F50"/>
  <mergeCells count="7">
    <mergeCell ref="B2:P2"/>
    <mergeCell ref="B3:P3"/>
    <mergeCell ref="B5:K5"/>
    <mergeCell ref="B24:E24"/>
    <mergeCell ref="B43:I43"/>
    <mergeCell ref="B49:N49"/>
    <mergeCell ref="B50:N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8"/>
    <col collapsed="false" customWidth="true" hidden="false" outlineLevel="0" max="4" min="4" style="1" width="14"/>
    <col collapsed="false" customWidth="true" hidden="false" outlineLevel="0" max="6" min="5" style="1" width="10"/>
    <col collapsed="false" customWidth="true" hidden="false" outlineLevel="0" max="8" min="7" style="1" width="14"/>
    <col collapsed="false" customWidth="true" hidden="false" outlineLevel="0" max="9" min="9" style="1" width="2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customFormat="false" ht="45" hidden="false" customHeight="true" outlineLevel="0" collapsed="false">
      <c r="A2" s="2"/>
      <c r="B2" s="266" t="s">
        <v>4475</v>
      </c>
      <c r="C2" s="266"/>
      <c r="D2" s="266"/>
      <c r="E2" s="266"/>
      <c r="F2" s="266"/>
      <c r="G2" s="266"/>
      <c r="H2" s="266"/>
      <c r="I2" s="266"/>
    </row>
    <row r="3" customFormat="false" ht="120" hidden="false" customHeight="true" outlineLevel="0" collapsed="false">
      <c r="A3" s="2"/>
      <c r="B3" s="4" t="s">
        <v>4476</v>
      </c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41.25" hidden="false" customHeight="true" outlineLevel="0" collapsed="false">
      <c r="A5" s="2"/>
      <c r="B5" s="267" t="s">
        <v>4477</v>
      </c>
      <c r="C5" s="267" t="s">
        <v>4478</v>
      </c>
      <c r="D5" s="267" t="s">
        <v>4479</v>
      </c>
      <c r="E5" s="267" t="s">
        <v>4480</v>
      </c>
      <c r="F5" s="2"/>
      <c r="G5" s="2"/>
      <c r="H5" s="2"/>
      <c r="I5" s="2"/>
    </row>
    <row r="6" customFormat="false" ht="45" hidden="false" customHeight="true" outlineLevel="0" collapsed="false">
      <c r="A6" s="2"/>
      <c r="B6" s="268" t="s">
        <v>4482</v>
      </c>
      <c r="C6" s="41" t="s">
        <v>4483</v>
      </c>
      <c r="D6" s="41" t="s">
        <v>4484</v>
      </c>
      <c r="E6" s="51" t="s">
        <v>300</v>
      </c>
      <c r="F6" s="2"/>
      <c r="G6" s="2"/>
      <c r="H6" s="2"/>
      <c r="I6" s="2"/>
    </row>
    <row r="7" customFormat="false" ht="60" hidden="false" customHeight="true" outlineLevel="0" collapsed="false">
      <c r="A7" s="2"/>
      <c r="B7" s="268" t="s">
        <v>4486</v>
      </c>
      <c r="C7" s="41" t="s">
        <v>4487</v>
      </c>
      <c r="D7" s="41" t="s">
        <v>4488</v>
      </c>
      <c r="E7" s="51" t="s">
        <v>303</v>
      </c>
      <c r="F7" s="2"/>
      <c r="G7" s="2"/>
      <c r="H7" s="2"/>
      <c r="I7" s="2"/>
    </row>
    <row r="8" customFormat="false" ht="30" hidden="false" customHeight="true" outlineLevel="0" collapsed="false">
      <c r="A8" s="2"/>
      <c r="B8" s="268" t="s">
        <v>276</v>
      </c>
      <c r="C8" s="41" t="s">
        <v>4490</v>
      </c>
      <c r="D8" s="41" t="s">
        <v>4491</v>
      </c>
      <c r="E8" s="51" t="s">
        <v>276</v>
      </c>
      <c r="F8" s="2"/>
      <c r="G8" s="2"/>
      <c r="H8" s="2"/>
      <c r="I8" s="2"/>
    </row>
    <row r="9" customFormat="false" ht="30" hidden="false" customHeight="true" outlineLevel="0" collapsed="false">
      <c r="A9" s="2"/>
      <c r="B9" s="268" t="s">
        <v>279</v>
      </c>
      <c r="C9" s="41" t="s">
        <v>4493</v>
      </c>
      <c r="D9" s="41" t="s">
        <v>4494</v>
      </c>
      <c r="E9" s="51" t="s">
        <v>279</v>
      </c>
      <c r="F9" s="2"/>
      <c r="G9" s="2"/>
      <c r="H9" s="2"/>
      <c r="I9" s="2"/>
    </row>
    <row r="10" customFormat="false" ht="30" hidden="false" customHeight="true" outlineLevel="0" collapsed="false">
      <c r="A10" s="2"/>
      <c r="B10" s="268" t="s">
        <v>273</v>
      </c>
      <c r="C10" s="41" t="s">
        <v>4496</v>
      </c>
      <c r="D10" s="41" t="s">
        <v>4497</v>
      </c>
      <c r="E10" s="51" t="s">
        <v>273</v>
      </c>
      <c r="F10" s="2"/>
      <c r="G10" s="2"/>
      <c r="H10" s="2"/>
      <c r="I10" s="2"/>
    </row>
    <row r="11" customFormat="false" ht="30" hidden="false" customHeight="true" outlineLevel="0" collapsed="false">
      <c r="A11" s="2"/>
      <c r="B11" s="268" t="s">
        <v>288</v>
      </c>
      <c r="C11" s="41" t="s">
        <v>4499</v>
      </c>
      <c r="D11" s="41" t="s">
        <v>4500</v>
      </c>
      <c r="E11" s="51" t="s">
        <v>288</v>
      </c>
      <c r="F11" s="2"/>
      <c r="G11" s="2"/>
      <c r="H11" s="2"/>
      <c r="I11" s="2"/>
    </row>
    <row r="12" customFormat="false" ht="30" hidden="false" customHeight="true" outlineLevel="0" collapsed="false">
      <c r="A12" s="2"/>
      <c r="B12" s="268" t="s">
        <v>294</v>
      </c>
      <c r="C12" s="41" t="s">
        <v>4502</v>
      </c>
      <c r="D12" s="41" t="s">
        <v>4503</v>
      </c>
      <c r="E12" s="51" t="s">
        <v>294</v>
      </c>
      <c r="F12" s="2"/>
      <c r="G12" s="2"/>
      <c r="H12" s="2"/>
      <c r="I12" s="2"/>
    </row>
    <row r="13" customFormat="false" ht="30" hidden="false" customHeight="true" outlineLevel="0" collapsed="false">
      <c r="A13" s="2"/>
      <c r="B13" s="268" t="s">
        <v>258</v>
      </c>
      <c r="C13" s="41" t="s">
        <v>4505</v>
      </c>
      <c r="D13" s="41" t="s">
        <v>4506</v>
      </c>
      <c r="E13" s="51" t="s">
        <v>258</v>
      </c>
      <c r="F13" s="2"/>
      <c r="G13" s="2"/>
      <c r="H13" s="2"/>
      <c r="I13" s="2"/>
    </row>
    <row r="14" customFormat="false" ht="30" hidden="false" customHeight="true" outlineLevel="0" collapsed="false">
      <c r="A14" s="2"/>
      <c r="B14" s="268" t="s">
        <v>261</v>
      </c>
      <c r="C14" s="41" t="s">
        <v>4508</v>
      </c>
      <c r="D14" s="41" t="s">
        <v>4506</v>
      </c>
      <c r="E14" s="51" t="s">
        <v>261</v>
      </c>
      <c r="F14" s="2"/>
      <c r="G14" s="2"/>
      <c r="H14" s="2"/>
      <c r="I14" s="2"/>
    </row>
    <row r="15" customFormat="false" ht="30" hidden="false" customHeight="true" outlineLevel="0" collapsed="false">
      <c r="A15" s="2"/>
      <c r="B15" s="268" t="s">
        <v>267</v>
      </c>
      <c r="C15" s="41" t="s">
        <v>4510</v>
      </c>
      <c r="D15" s="41" t="s">
        <v>4506</v>
      </c>
      <c r="E15" s="51" t="s">
        <v>267</v>
      </c>
      <c r="F15" s="2"/>
      <c r="G15" s="2"/>
      <c r="H15" s="2"/>
      <c r="I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</row>
    <row r="18" customFormat="false" ht="45" hidden="false" customHeight="true" outlineLevel="0" collapsed="false">
      <c r="A18" s="2"/>
      <c r="B18" s="269" t="s">
        <v>4512</v>
      </c>
      <c r="C18" s="269"/>
      <c r="D18" s="269"/>
      <c r="E18" s="269"/>
      <c r="F18" s="269"/>
      <c r="G18" s="269"/>
      <c r="H18" s="269"/>
      <c r="I18" s="269"/>
    </row>
    <row r="19" customFormat="false" ht="30" hidden="false" customHeight="true" outlineLevel="0" collapsed="false">
      <c r="A19" s="2"/>
      <c r="B19" s="267" t="s">
        <v>4513</v>
      </c>
      <c r="C19" s="267" t="s">
        <v>4514</v>
      </c>
      <c r="D19" s="267" t="s">
        <v>1808</v>
      </c>
      <c r="E19" s="267" t="s">
        <v>4515</v>
      </c>
      <c r="F19" s="267" t="s">
        <v>4516</v>
      </c>
      <c r="G19" s="267" t="s">
        <v>5945</v>
      </c>
      <c r="H19" s="267" t="s">
        <v>5946</v>
      </c>
      <c r="I19" s="267" t="s">
        <v>913</v>
      </c>
    </row>
    <row r="20" customFormat="false" ht="45" hidden="false" customHeight="true" outlineLevel="0" collapsed="false">
      <c r="A20" s="2"/>
      <c r="B20" s="41" t="n">
        <v>1</v>
      </c>
      <c r="C20" s="270"/>
      <c r="D20" s="271"/>
      <c r="E20" s="272"/>
      <c r="F20" s="273"/>
      <c r="G20" s="274" t="str">
        <f aca="false">IF(D20*E20*F20=0,"",D20*E20*F20)</f>
        <v/>
      </c>
      <c r="H20" s="275" t="str">
        <f aca="false">IF(G20="","",G20/1000)</f>
        <v/>
      </c>
      <c r="I20" s="268"/>
    </row>
    <row r="21" customFormat="false" ht="45" hidden="false" customHeight="true" outlineLevel="0" collapsed="false">
      <c r="A21" s="2"/>
      <c r="B21" s="41" t="n">
        <v>2</v>
      </c>
      <c r="C21" s="270"/>
      <c r="D21" s="271"/>
      <c r="E21" s="272"/>
      <c r="F21" s="273"/>
      <c r="G21" s="274" t="str">
        <f aca="false">IF(D21*E21*F21=0,"",D21*E21*F21)</f>
        <v/>
      </c>
      <c r="H21" s="275" t="str">
        <f aca="false">IF(G21="","",G21/1000)</f>
        <v/>
      </c>
      <c r="I21" s="268"/>
    </row>
    <row r="22" customFormat="false" ht="45" hidden="false" customHeight="true" outlineLevel="0" collapsed="false">
      <c r="A22" s="2"/>
      <c r="B22" s="41" t="n">
        <v>3</v>
      </c>
      <c r="C22" s="270"/>
      <c r="D22" s="271"/>
      <c r="E22" s="272"/>
      <c r="F22" s="273"/>
      <c r="G22" s="274" t="str">
        <f aca="false">IF(D22*E22*F22=0,"",D22*E22*F22)</f>
        <v/>
      </c>
      <c r="H22" s="275" t="str">
        <f aca="false">IF(G22="","",G22/1000)</f>
        <v/>
      </c>
      <c r="I22" s="268"/>
    </row>
    <row r="23" customFormat="false" ht="45" hidden="false" customHeight="true" outlineLevel="0" collapsed="false">
      <c r="A23" s="2"/>
      <c r="B23" s="41" t="n">
        <v>4</v>
      </c>
      <c r="C23" s="270"/>
      <c r="D23" s="271"/>
      <c r="E23" s="272"/>
      <c r="F23" s="273"/>
      <c r="G23" s="274" t="str">
        <f aca="false">IF(D23*E23*F23=0,"",D23*E23*F23)</f>
        <v/>
      </c>
      <c r="H23" s="275" t="str">
        <f aca="false">IF(G23="","",G23/1000)</f>
        <v/>
      </c>
      <c r="I23" s="268"/>
    </row>
    <row r="24" customFormat="false" ht="45" hidden="false" customHeight="true" outlineLevel="0" collapsed="false">
      <c r="A24" s="2"/>
      <c r="B24" s="41" t="n">
        <v>5</v>
      </c>
      <c r="C24" s="270"/>
      <c r="D24" s="271"/>
      <c r="E24" s="272"/>
      <c r="F24" s="273"/>
      <c r="G24" s="274" t="str">
        <f aca="false">IF(D24*E24*F24=0,"",D24*E24*F24)</f>
        <v/>
      </c>
      <c r="H24" s="275" t="str">
        <f aca="false">IF(G24="","",G24/1000)</f>
        <v/>
      </c>
      <c r="I24" s="268"/>
    </row>
    <row r="25" customFormat="false" ht="45" hidden="false" customHeight="true" outlineLevel="0" collapsed="false">
      <c r="A25" s="2"/>
      <c r="B25" s="41" t="n">
        <v>6</v>
      </c>
      <c r="C25" s="270"/>
      <c r="D25" s="271"/>
      <c r="E25" s="272"/>
      <c r="F25" s="273"/>
      <c r="G25" s="274" t="str">
        <f aca="false">IF(D25*E25*F25=0,"",D25*E25*F25)</f>
        <v/>
      </c>
      <c r="H25" s="275" t="str">
        <f aca="false">IF(G25="","",G25/1000)</f>
        <v/>
      </c>
      <c r="I25" s="268"/>
    </row>
    <row r="26" customFormat="false" ht="45" hidden="false" customHeight="true" outlineLevel="0" collapsed="false">
      <c r="A26" s="2"/>
      <c r="B26" s="41" t="n">
        <v>7</v>
      </c>
      <c r="C26" s="270"/>
      <c r="D26" s="271"/>
      <c r="E26" s="272"/>
      <c r="F26" s="273"/>
      <c r="G26" s="274" t="str">
        <f aca="false">IF(D26*E26*F26=0,"",D26*E26*F26)</f>
        <v/>
      </c>
      <c r="H26" s="275" t="str">
        <f aca="false">IF(G26="","",G26/1000)</f>
        <v/>
      </c>
      <c r="I26" s="268"/>
    </row>
    <row r="27" customFormat="false" ht="45" hidden="false" customHeight="true" outlineLevel="0" collapsed="false">
      <c r="A27" s="2"/>
      <c r="B27" s="41" t="n">
        <v>8</v>
      </c>
      <c r="C27" s="270"/>
      <c r="D27" s="271"/>
      <c r="E27" s="272"/>
      <c r="F27" s="273"/>
      <c r="G27" s="274" t="str">
        <f aca="false">IF(D27*E27*F27=0,"",D27*E27*F27)</f>
        <v/>
      </c>
      <c r="H27" s="275" t="str">
        <f aca="false">IF(G27="","",G27/1000)</f>
        <v/>
      </c>
      <c r="I27" s="268"/>
    </row>
    <row r="28" customFormat="false" ht="45" hidden="false" customHeight="true" outlineLevel="0" collapsed="false">
      <c r="A28" s="2"/>
      <c r="B28" s="41" t="n">
        <v>9</v>
      </c>
      <c r="C28" s="270"/>
      <c r="D28" s="271"/>
      <c r="E28" s="272"/>
      <c r="F28" s="273"/>
      <c r="G28" s="274" t="str">
        <f aca="false">IF(D28*E28*F28=0,"",D28*E28*F28)</f>
        <v/>
      </c>
      <c r="H28" s="275" t="str">
        <f aca="false">IF(G28="","",G28/1000)</f>
        <v/>
      </c>
      <c r="I28" s="268"/>
    </row>
    <row r="29" customFormat="false" ht="45" hidden="false" customHeight="true" outlineLevel="0" collapsed="false">
      <c r="A29" s="2"/>
      <c r="B29" s="41" t="n">
        <v>10</v>
      </c>
      <c r="C29" s="270"/>
      <c r="D29" s="271"/>
      <c r="E29" s="272"/>
      <c r="F29" s="273"/>
      <c r="G29" s="274" t="str">
        <f aca="false">IF(D29*E29*F29=0,"",D29*E29*F29)</f>
        <v/>
      </c>
      <c r="H29" s="275" t="str">
        <f aca="false">IF(G29="","",G29/1000)</f>
        <v/>
      </c>
      <c r="I29" s="268"/>
    </row>
    <row r="30" customFormat="false" ht="45" hidden="false" customHeight="true" outlineLevel="0" collapsed="false">
      <c r="A30" s="2"/>
      <c r="B30" s="41" t="n">
        <v>11</v>
      </c>
      <c r="C30" s="270"/>
      <c r="D30" s="271"/>
      <c r="E30" s="272"/>
      <c r="F30" s="273"/>
      <c r="G30" s="274" t="str">
        <f aca="false">IF(D30*E30*F30=0,"",D30*E30*F30)</f>
        <v/>
      </c>
      <c r="H30" s="275" t="str">
        <f aca="false">IF(G30="","",G30/1000)</f>
        <v/>
      </c>
      <c r="I30" s="268"/>
    </row>
    <row r="31" customFormat="false" ht="45" hidden="false" customHeight="true" outlineLevel="0" collapsed="false">
      <c r="A31" s="2"/>
      <c r="B31" s="41" t="n">
        <v>12</v>
      </c>
      <c r="C31" s="270"/>
      <c r="D31" s="271"/>
      <c r="E31" s="272"/>
      <c r="F31" s="273"/>
      <c r="G31" s="274" t="str">
        <f aca="false">IF(D31*E31*F31=0,"",D31*E31*F31)</f>
        <v/>
      </c>
      <c r="H31" s="275" t="str">
        <f aca="false">IF(G31="","",G31/1000)</f>
        <v/>
      </c>
      <c r="I31" s="268"/>
    </row>
    <row r="32" customFormat="false" ht="45" hidden="false" customHeight="true" outlineLevel="0" collapsed="false">
      <c r="A32" s="2"/>
      <c r="B32" s="41" t="n">
        <v>13</v>
      </c>
      <c r="C32" s="270"/>
      <c r="D32" s="271"/>
      <c r="E32" s="272"/>
      <c r="F32" s="273"/>
      <c r="G32" s="274" t="str">
        <f aca="false">IF(D32*E32*F32=0,"",D32*E32*F32)</f>
        <v/>
      </c>
      <c r="H32" s="275" t="str">
        <f aca="false">IF(G32="","",G32/1000)</f>
        <v/>
      </c>
      <c r="I32" s="268"/>
    </row>
    <row r="33" customFormat="false" ht="45" hidden="false" customHeight="true" outlineLevel="0" collapsed="false">
      <c r="A33" s="2"/>
      <c r="B33" s="41" t="n">
        <v>14</v>
      </c>
      <c r="C33" s="270"/>
      <c r="D33" s="271"/>
      <c r="E33" s="272"/>
      <c r="F33" s="273"/>
      <c r="G33" s="274" t="str">
        <f aca="false">IF(D33*E33*F33=0,"",D33*E33*F33)</f>
        <v/>
      </c>
      <c r="H33" s="275" t="str">
        <f aca="false">IF(G33="","",G33/1000)</f>
        <v/>
      </c>
      <c r="I33" s="268"/>
    </row>
    <row r="34" customFormat="false" ht="45" hidden="false" customHeight="true" outlineLevel="0" collapsed="false">
      <c r="A34" s="2"/>
      <c r="B34" s="41" t="n">
        <v>15</v>
      </c>
      <c r="C34" s="270"/>
      <c r="D34" s="271"/>
      <c r="E34" s="272"/>
      <c r="F34" s="273"/>
      <c r="G34" s="274" t="str">
        <f aca="false">IF(D34*E34*F34=0,"",D34*E34*F34)</f>
        <v/>
      </c>
      <c r="H34" s="275" t="str">
        <f aca="false">IF(G34="","",G34/1000)</f>
        <v/>
      </c>
      <c r="I34" s="268"/>
    </row>
    <row r="35" customFormat="false" ht="45" hidden="false" customHeight="true" outlineLevel="0" collapsed="false">
      <c r="A35" s="2"/>
      <c r="B35" s="41" t="n">
        <v>16</v>
      </c>
      <c r="C35" s="270"/>
      <c r="D35" s="271"/>
      <c r="E35" s="272"/>
      <c r="F35" s="273"/>
      <c r="G35" s="274" t="str">
        <f aca="false">IF(D35*E35*F35=0,"",D35*E35*F35)</f>
        <v/>
      </c>
      <c r="H35" s="275" t="str">
        <f aca="false">IF(G35="","",G35/1000)</f>
        <v/>
      </c>
      <c r="I35" s="268"/>
    </row>
    <row r="36" customFormat="false" ht="45" hidden="false" customHeight="true" outlineLevel="0" collapsed="false">
      <c r="A36" s="2"/>
      <c r="B36" s="41" t="n">
        <v>17</v>
      </c>
      <c r="C36" s="270"/>
      <c r="D36" s="271"/>
      <c r="E36" s="272"/>
      <c r="F36" s="273"/>
      <c r="G36" s="274" t="str">
        <f aca="false">IF(D36*E36*F36=0,"",D36*E36*F36)</f>
        <v/>
      </c>
      <c r="H36" s="275" t="str">
        <f aca="false">IF(G36="","",G36/1000)</f>
        <v/>
      </c>
      <c r="I36" s="268"/>
    </row>
    <row r="37" customFormat="false" ht="45" hidden="false" customHeight="true" outlineLevel="0" collapsed="false">
      <c r="A37" s="2"/>
      <c r="B37" s="41" t="n">
        <v>18</v>
      </c>
      <c r="C37" s="270"/>
      <c r="D37" s="271"/>
      <c r="E37" s="272"/>
      <c r="F37" s="273"/>
      <c r="G37" s="274" t="str">
        <f aca="false">IF(D37*E37*F37=0,"",D37*E37*F37)</f>
        <v/>
      </c>
      <c r="H37" s="275" t="str">
        <f aca="false">IF(G37="","",G37/1000)</f>
        <v/>
      </c>
      <c r="I37" s="268"/>
    </row>
    <row r="38" customFormat="false" ht="45" hidden="false" customHeight="true" outlineLevel="0" collapsed="false">
      <c r="A38" s="2"/>
      <c r="B38" s="41" t="n">
        <v>19</v>
      </c>
      <c r="C38" s="270"/>
      <c r="D38" s="271"/>
      <c r="E38" s="272"/>
      <c r="F38" s="273"/>
      <c r="G38" s="274" t="str">
        <f aca="false">IF(D38*E38*F38=0,"",D38*E38*F38)</f>
        <v/>
      </c>
      <c r="H38" s="275" t="str">
        <f aca="false">IF(G38="","",G38/1000)</f>
        <v/>
      </c>
      <c r="I38" s="268"/>
    </row>
    <row r="39" customFormat="false" ht="45" hidden="false" customHeight="true" outlineLevel="0" collapsed="false">
      <c r="A39" s="2"/>
      <c r="B39" s="41" t="n">
        <v>20</v>
      </c>
      <c r="C39" s="270"/>
      <c r="D39" s="271"/>
      <c r="E39" s="272"/>
      <c r="F39" s="273"/>
      <c r="G39" s="274" t="str">
        <f aca="false">IF(D39*E39*F39=0,"",D39*E39*F39)</f>
        <v/>
      </c>
      <c r="H39" s="275" t="str">
        <f aca="false">IF(G39="","",G39/1000)</f>
        <v/>
      </c>
      <c r="I39" s="268"/>
    </row>
    <row r="40" customFormat="false" ht="30" hidden="false" customHeight="true" outlineLevel="0" collapsed="false">
      <c r="A40" s="2"/>
      <c r="B40" s="276" t="s">
        <v>4518</v>
      </c>
      <c r="C40" s="276"/>
      <c r="D40" s="276"/>
      <c r="E40" s="276"/>
      <c r="F40" s="276"/>
      <c r="G40" s="277" t="n">
        <f aca="false">SUM(G20:G39)</f>
        <v>0</v>
      </c>
      <c r="H40" s="278" t="n">
        <f aca="false">SUM(H20:H39)</f>
        <v>0</v>
      </c>
      <c r="I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</row>
    <row r="42" customFormat="false" ht="120" hidden="false" customHeight="true" outlineLevel="0" collapsed="false">
      <c r="A42" s="2"/>
      <c r="B42" s="60" t="s">
        <v>4519</v>
      </c>
      <c r="C42" s="2"/>
      <c r="D42" s="2"/>
      <c r="E42" s="2"/>
      <c r="F42" s="2"/>
      <c r="G42" s="2"/>
      <c r="H42" s="2"/>
      <c r="I42" s="2"/>
    </row>
  </sheetData>
  <mergeCells count="4">
    <mergeCell ref="B2:I2"/>
    <mergeCell ref="B3:I3"/>
    <mergeCell ref="B18:I18"/>
    <mergeCell ref="B40:F40"/>
  </mergeCells>
  <hyperlinks>
    <hyperlink ref="E6" location="'MS SHS'!A1" display="MS SHS"/>
    <hyperlink ref="E7" location="'MS RHS'!A1" display="MS RHS"/>
    <hyperlink ref="E8" location="'MS Equal Angles'!A1" display="MS Equal Angles"/>
    <hyperlink ref="E9" location="'MS Unequal Angles'!A1" display="MS Unequal Angles"/>
    <hyperlink ref="E10" location="'MS Shipbuild Flat'!A1" display="MS Shipbuild Flat"/>
    <hyperlink ref="E11" location="'MS Carbon Pipe'!A1" display="MS Carbon Pipe"/>
    <hyperlink ref="E12" location="'MS HR Plates'!A1" display="MS HR Plates"/>
    <hyperlink ref="E13" location="'SS SQ Tube'!A1" display="SS SQ Tube"/>
    <hyperlink ref="E14" location="'SS RHS Tube'!A1" display="SS RHS Tube"/>
    <hyperlink ref="E15" location="'SS Round Tube'!A1" display="SS Round Tub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4"/>
    <col collapsed="false" customWidth="true" hidden="false" outlineLevel="0" max="4" min="4" style="1" width="14"/>
    <col collapsed="false" customWidth="true" hidden="false" outlineLevel="0" max="6" min="5" style="1" width="12"/>
    <col collapsed="false" customWidth="true" hidden="false" outlineLevel="0" max="7" min="7" style="1" width="10"/>
    <col collapsed="false" customWidth="true" hidden="false" outlineLevel="0" max="8" min="8" style="1" width="8"/>
    <col collapsed="false" customWidth="true" hidden="false" outlineLevel="0" max="10" min="9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90" hidden="false" customHeight="true" outlineLevel="0" collapsed="false">
      <c r="A2" s="2"/>
      <c r="B2" s="266" t="s">
        <v>4520</v>
      </c>
      <c r="C2" s="266"/>
      <c r="D2" s="266"/>
      <c r="E2" s="266"/>
      <c r="F2" s="266"/>
      <c r="G2" s="266"/>
      <c r="H2" s="266"/>
      <c r="I2" s="266"/>
      <c r="J2" s="266"/>
    </row>
    <row r="3" customFormat="false" ht="120" hidden="false" customHeight="true" outlineLevel="0" collapsed="false">
      <c r="A3" s="2"/>
      <c r="B3" s="4" t="s">
        <v>4521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45" hidden="false" customHeight="true" outlineLevel="0" collapsed="false">
      <c r="A5" s="2"/>
      <c r="B5" s="279" t="s">
        <v>4522</v>
      </c>
      <c r="C5" s="2"/>
      <c r="D5" s="2"/>
      <c r="E5" s="2"/>
      <c r="F5" s="2"/>
      <c r="G5" s="2"/>
      <c r="H5" s="2"/>
      <c r="I5" s="2"/>
      <c r="J5" s="2"/>
    </row>
    <row r="6" customFormat="false" ht="68.25" hidden="false" customHeight="true" outlineLevel="0" collapsed="false">
      <c r="A6" s="2"/>
      <c r="B6" s="267" t="s">
        <v>4523</v>
      </c>
      <c r="C6" s="267" t="s">
        <v>632</v>
      </c>
      <c r="D6" s="267" t="s">
        <v>4524</v>
      </c>
      <c r="E6" s="267" t="s">
        <v>765</v>
      </c>
      <c r="F6" s="267" t="s">
        <v>4525</v>
      </c>
      <c r="G6" s="267" t="s">
        <v>766</v>
      </c>
      <c r="H6" s="267" t="s">
        <v>5847</v>
      </c>
      <c r="I6" s="267" t="s">
        <v>5947</v>
      </c>
      <c r="J6" s="267" t="s">
        <v>5948</v>
      </c>
    </row>
    <row r="7" customFormat="false" ht="30" hidden="false" customHeight="true" outlineLevel="0" collapsed="false">
      <c r="A7" s="2"/>
      <c r="B7" s="268" t="s">
        <v>4527</v>
      </c>
      <c r="C7" s="41" t="s">
        <v>4528</v>
      </c>
      <c r="D7" s="280" t="n">
        <v>3.5</v>
      </c>
      <c r="E7" s="281" t="n">
        <v>7850</v>
      </c>
      <c r="F7" s="281" t="n">
        <v>275</v>
      </c>
      <c r="G7" s="281" t="n">
        <v>210</v>
      </c>
      <c r="H7" s="282" t="n">
        <f aca="false">(F7/E7)*1000</f>
        <v>35.031847133758</v>
      </c>
      <c r="I7" s="283" t="n">
        <f aca="false">D7/F7</f>
        <v>0.0127272727272727</v>
      </c>
      <c r="J7" s="284" t="n">
        <f aca="false">I7/I$7</f>
        <v>1</v>
      </c>
    </row>
    <row r="8" customFormat="false" ht="30" hidden="false" customHeight="true" outlineLevel="0" collapsed="false">
      <c r="A8" s="2"/>
      <c r="B8" s="268" t="s">
        <v>4527</v>
      </c>
      <c r="C8" s="41" t="s">
        <v>4530</v>
      </c>
      <c r="D8" s="280" t="n">
        <v>3.8</v>
      </c>
      <c r="E8" s="281" t="n">
        <v>7850</v>
      </c>
      <c r="F8" s="281" t="n">
        <v>355</v>
      </c>
      <c r="G8" s="281" t="n">
        <v>210</v>
      </c>
      <c r="H8" s="282" t="n">
        <f aca="false">(F8/E8)*1000</f>
        <v>45.2229299363057</v>
      </c>
      <c r="I8" s="283" t="n">
        <f aca="false">D8/F8</f>
        <v>0.0107042253521127</v>
      </c>
      <c r="J8" s="284" t="n">
        <f aca="false">I8/I$7</f>
        <v>0.841046277665996</v>
      </c>
    </row>
    <row r="9" customFormat="false" ht="30" hidden="false" customHeight="true" outlineLevel="0" collapsed="false">
      <c r="A9" s="2"/>
      <c r="B9" s="268" t="s">
        <v>4527</v>
      </c>
      <c r="C9" s="41" t="s">
        <v>648</v>
      </c>
      <c r="D9" s="280" t="n">
        <v>5</v>
      </c>
      <c r="E9" s="281" t="n">
        <v>7850</v>
      </c>
      <c r="F9" s="281" t="n">
        <v>460</v>
      </c>
      <c r="G9" s="281" t="n">
        <v>210</v>
      </c>
      <c r="H9" s="282" t="n">
        <f aca="false">(F9/E9)*1000</f>
        <v>58.5987261146497</v>
      </c>
      <c r="I9" s="283" t="n">
        <f aca="false">D9/F9</f>
        <v>0.0108695652173913</v>
      </c>
      <c r="J9" s="284" t="n">
        <f aca="false">I9/I$7</f>
        <v>0.854037267080745</v>
      </c>
    </row>
    <row r="10" customFormat="false" ht="30" hidden="false" customHeight="true" outlineLevel="0" collapsed="false">
      <c r="A10" s="2"/>
      <c r="B10" s="268" t="s">
        <v>4533</v>
      </c>
      <c r="C10" s="41" t="s">
        <v>137</v>
      </c>
      <c r="D10" s="280" t="n">
        <v>8.5</v>
      </c>
      <c r="E10" s="281" t="n">
        <v>7900</v>
      </c>
      <c r="F10" s="281" t="n">
        <v>210</v>
      </c>
      <c r="G10" s="281" t="n">
        <v>200</v>
      </c>
      <c r="H10" s="282" t="n">
        <f aca="false">(F10/E10)*1000</f>
        <v>26.5822784810127</v>
      </c>
      <c r="I10" s="283" t="n">
        <f aca="false">D10/F10</f>
        <v>0.0404761904761905</v>
      </c>
      <c r="J10" s="284" t="n">
        <f aca="false">I10/I$7</f>
        <v>3.18027210884354</v>
      </c>
    </row>
    <row r="11" customFormat="false" ht="30" hidden="false" customHeight="true" outlineLevel="0" collapsed="false">
      <c r="A11" s="2"/>
      <c r="B11" s="268" t="s">
        <v>4533</v>
      </c>
      <c r="C11" s="41" t="s">
        <v>718</v>
      </c>
      <c r="D11" s="280" t="n">
        <v>12</v>
      </c>
      <c r="E11" s="281" t="n">
        <v>7980</v>
      </c>
      <c r="F11" s="281" t="n">
        <v>220</v>
      </c>
      <c r="G11" s="281" t="n">
        <v>200</v>
      </c>
      <c r="H11" s="282" t="n">
        <f aca="false">(F11/E11)*1000</f>
        <v>27.5689223057644</v>
      </c>
      <c r="I11" s="283" t="n">
        <f aca="false">D11/F11</f>
        <v>0.0545454545454545</v>
      </c>
      <c r="J11" s="284" t="n">
        <f aca="false">I11/I$7</f>
        <v>4.28571428571429</v>
      </c>
    </row>
    <row r="12" customFormat="false" ht="30" hidden="false" customHeight="true" outlineLevel="0" collapsed="false">
      <c r="A12" s="2"/>
      <c r="B12" s="268" t="s">
        <v>726</v>
      </c>
      <c r="C12" s="41" t="s">
        <v>738</v>
      </c>
      <c r="D12" s="280" t="n">
        <v>8</v>
      </c>
      <c r="E12" s="281" t="n">
        <v>2700</v>
      </c>
      <c r="F12" s="281" t="n">
        <v>276</v>
      </c>
      <c r="G12" s="281" t="n">
        <v>69</v>
      </c>
      <c r="H12" s="282" t="n">
        <f aca="false">(F12/E12)*1000</f>
        <v>102.222222222222</v>
      </c>
      <c r="I12" s="283" t="n">
        <f aca="false">D12/F12</f>
        <v>0.0289855072463768</v>
      </c>
      <c r="J12" s="284" t="n">
        <f aca="false">I12/I$7</f>
        <v>2.27743271221532</v>
      </c>
    </row>
    <row r="13" customFormat="false" ht="30" hidden="false" customHeight="true" outlineLevel="0" collapsed="false">
      <c r="A13" s="2"/>
      <c r="B13" s="268" t="s">
        <v>726</v>
      </c>
      <c r="C13" s="41" t="s">
        <v>727</v>
      </c>
      <c r="D13" s="280" t="n">
        <v>8.5</v>
      </c>
      <c r="E13" s="281" t="n">
        <v>2700</v>
      </c>
      <c r="F13" s="281" t="n">
        <v>260</v>
      </c>
      <c r="G13" s="281" t="n">
        <v>69</v>
      </c>
      <c r="H13" s="282" t="n">
        <f aca="false">(F13/E13)*1000</f>
        <v>96.2962962962963</v>
      </c>
      <c r="I13" s="283" t="n">
        <f aca="false">D13/F13</f>
        <v>0.0326923076923077</v>
      </c>
      <c r="J13" s="284" t="n">
        <f aca="false">I13/I$7</f>
        <v>2.56868131868132</v>
      </c>
    </row>
    <row r="14" customFormat="false" ht="30" hidden="false" customHeight="true" outlineLevel="0" collapsed="false">
      <c r="A14" s="2"/>
      <c r="B14" s="268" t="s">
        <v>138</v>
      </c>
      <c r="C14" s="41" t="s">
        <v>4538</v>
      </c>
      <c r="D14" s="280" t="n">
        <v>4.5</v>
      </c>
      <c r="E14" s="281" t="n">
        <v>7850</v>
      </c>
      <c r="F14" s="281" t="n">
        <v>275</v>
      </c>
      <c r="G14" s="281" t="n">
        <v>210</v>
      </c>
      <c r="H14" s="282" t="n">
        <f aca="false">(F14/E14)*1000</f>
        <v>35.031847133758</v>
      </c>
      <c r="I14" s="283" t="n">
        <f aca="false">D14/F14</f>
        <v>0.0163636363636364</v>
      </c>
      <c r="J14" s="284" t="n">
        <f aca="false">I14/I$7</f>
        <v>1.28571428571429</v>
      </c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45" hidden="false" customHeight="true" outlineLevel="0" collapsed="false">
      <c r="A18" s="2"/>
      <c r="B18" s="279" t="s">
        <v>4540</v>
      </c>
      <c r="C18" s="2"/>
      <c r="D18" s="2"/>
      <c r="E18" s="2"/>
      <c r="F18" s="2"/>
      <c r="G18" s="2"/>
      <c r="H18" s="2"/>
      <c r="I18" s="2"/>
      <c r="J18" s="2"/>
    </row>
    <row r="19" customFormat="false" ht="120" hidden="false" customHeight="true" outlineLevel="0" collapsed="false">
      <c r="A19" s="2"/>
      <c r="B19" s="4" t="s">
        <v>4541</v>
      </c>
      <c r="C19" s="4"/>
      <c r="D19" s="4"/>
      <c r="E19" s="4"/>
      <c r="F19" s="4"/>
      <c r="G19" s="4"/>
      <c r="H19" s="4"/>
      <c r="I19" s="4"/>
      <c r="J19" s="4"/>
    </row>
    <row r="20" customFormat="false" ht="30" hidden="false" customHeight="true" outlineLevel="0" collapsed="false">
      <c r="A20" s="2"/>
      <c r="B20" s="267" t="s">
        <v>4513</v>
      </c>
      <c r="C20" s="267" t="s">
        <v>4514</v>
      </c>
      <c r="D20" s="267" t="s">
        <v>4542</v>
      </c>
      <c r="E20" s="267" t="s">
        <v>4543</v>
      </c>
      <c r="F20" s="267" t="s">
        <v>4544</v>
      </c>
      <c r="G20" s="267" t="s">
        <v>4515</v>
      </c>
      <c r="H20" s="267" t="s">
        <v>5949</v>
      </c>
      <c r="I20" s="267" t="s">
        <v>5950</v>
      </c>
      <c r="J20" s="267" t="s">
        <v>5951</v>
      </c>
    </row>
    <row r="21" customFormat="false" ht="45" hidden="false" customHeight="true" outlineLevel="0" collapsed="false">
      <c r="A21" s="2"/>
      <c r="B21" s="41" t="n">
        <v>1</v>
      </c>
      <c r="C21" s="270"/>
      <c r="D21" s="270"/>
      <c r="E21" s="285"/>
      <c r="F21" s="286"/>
      <c r="G21" s="287"/>
      <c r="H21" s="288"/>
      <c r="I21" s="289" t="str">
        <f aca="false">IF(E21*F21*G21=0,"",E21*F21*G21)</f>
        <v/>
      </c>
      <c r="J21" s="289" t="str">
        <f aca="false">IF(I21="","",I21*H21)</f>
        <v/>
      </c>
    </row>
    <row r="22" customFormat="false" ht="45" hidden="false" customHeight="true" outlineLevel="0" collapsed="false">
      <c r="A22" s="2"/>
      <c r="B22" s="41" t="n">
        <v>2</v>
      </c>
      <c r="C22" s="270"/>
      <c r="D22" s="270"/>
      <c r="E22" s="285"/>
      <c r="F22" s="286"/>
      <c r="G22" s="287"/>
      <c r="H22" s="288"/>
      <c r="I22" s="289" t="str">
        <f aca="false">IF(E22*F22*G22=0,"",E22*F22*G22)</f>
        <v/>
      </c>
      <c r="J22" s="289" t="str">
        <f aca="false">IF(I22="","",I22*H22)</f>
        <v/>
      </c>
    </row>
    <row r="23" customFormat="false" ht="45" hidden="false" customHeight="true" outlineLevel="0" collapsed="false">
      <c r="A23" s="2"/>
      <c r="B23" s="41" t="n">
        <v>3</v>
      </c>
      <c r="C23" s="270"/>
      <c r="D23" s="270"/>
      <c r="E23" s="285"/>
      <c r="F23" s="286"/>
      <c r="G23" s="287"/>
      <c r="H23" s="288"/>
      <c r="I23" s="289" t="str">
        <f aca="false">IF(E23*F23*G23=0,"",E23*F23*G23)</f>
        <v/>
      </c>
      <c r="J23" s="289" t="str">
        <f aca="false">IF(I23="","",I23*H23)</f>
        <v/>
      </c>
    </row>
    <row r="24" customFormat="false" ht="45" hidden="false" customHeight="true" outlineLevel="0" collapsed="false">
      <c r="A24" s="2"/>
      <c r="B24" s="41" t="n">
        <v>4</v>
      </c>
      <c r="C24" s="270"/>
      <c r="D24" s="270"/>
      <c r="E24" s="285"/>
      <c r="F24" s="286"/>
      <c r="G24" s="287"/>
      <c r="H24" s="288"/>
      <c r="I24" s="289" t="str">
        <f aca="false">IF(E24*F24*G24=0,"",E24*F24*G24)</f>
        <v/>
      </c>
      <c r="J24" s="289" t="str">
        <f aca="false">IF(I24="","",I24*H24)</f>
        <v/>
      </c>
    </row>
    <row r="25" customFormat="false" ht="45" hidden="false" customHeight="true" outlineLevel="0" collapsed="false">
      <c r="A25" s="2"/>
      <c r="B25" s="41" t="n">
        <v>5</v>
      </c>
      <c r="C25" s="270"/>
      <c r="D25" s="270"/>
      <c r="E25" s="285"/>
      <c r="F25" s="286"/>
      <c r="G25" s="287"/>
      <c r="H25" s="288"/>
      <c r="I25" s="289" t="str">
        <f aca="false">IF(E25*F25*G25=0,"",E25*F25*G25)</f>
        <v/>
      </c>
      <c r="J25" s="289" t="str">
        <f aca="false">IF(I25="","",I25*H25)</f>
        <v/>
      </c>
    </row>
    <row r="26" customFormat="false" ht="45" hidden="false" customHeight="true" outlineLevel="0" collapsed="false">
      <c r="A26" s="2"/>
      <c r="B26" s="41" t="n">
        <v>6</v>
      </c>
      <c r="C26" s="270"/>
      <c r="D26" s="270"/>
      <c r="E26" s="285"/>
      <c r="F26" s="286"/>
      <c r="G26" s="287"/>
      <c r="H26" s="288"/>
      <c r="I26" s="289" t="str">
        <f aca="false">IF(E26*F26*G26=0,"",E26*F26*G26)</f>
        <v/>
      </c>
      <c r="J26" s="289" t="str">
        <f aca="false">IF(I26="","",I26*H26)</f>
        <v/>
      </c>
    </row>
    <row r="27" customFormat="false" ht="45" hidden="false" customHeight="true" outlineLevel="0" collapsed="false">
      <c r="A27" s="2"/>
      <c r="B27" s="41" t="n">
        <v>7</v>
      </c>
      <c r="C27" s="270"/>
      <c r="D27" s="270"/>
      <c r="E27" s="285"/>
      <c r="F27" s="286"/>
      <c r="G27" s="287"/>
      <c r="H27" s="288"/>
      <c r="I27" s="289" t="str">
        <f aca="false">IF(E27*F27*G27=0,"",E27*F27*G27)</f>
        <v/>
      </c>
      <c r="J27" s="289" t="str">
        <f aca="false">IF(I27="","",I27*H27)</f>
        <v/>
      </c>
    </row>
    <row r="28" customFormat="false" ht="45" hidden="false" customHeight="true" outlineLevel="0" collapsed="false">
      <c r="A28" s="2"/>
      <c r="B28" s="41" t="n">
        <v>8</v>
      </c>
      <c r="C28" s="270"/>
      <c r="D28" s="270"/>
      <c r="E28" s="285"/>
      <c r="F28" s="286"/>
      <c r="G28" s="287"/>
      <c r="H28" s="288"/>
      <c r="I28" s="289" t="str">
        <f aca="false">IF(E28*F28*G28=0,"",E28*F28*G28)</f>
        <v/>
      </c>
      <c r="J28" s="289" t="str">
        <f aca="false">IF(I28="","",I28*H28)</f>
        <v/>
      </c>
    </row>
    <row r="29" customFormat="false" ht="45" hidden="false" customHeight="true" outlineLevel="0" collapsed="false">
      <c r="A29" s="2"/>
      <c r="B29" s="41" t="n">
        <v>9</v>
      </c>
      <c r="C29" s="270"/>
      <c r="D29" s="270"/>
      <c r="E29" s="285"/>
      <c r="F29" s="286"/>
      <c r="G29" s="287"/>
      <c r="H29" s="288"/>
      <c r="I29" s="289" t="str">
        <f aca="false">IF(E29*F29*G29=0,"",E29*F29*G29)</f>
        <v/>
      </c>
      <c r="J29" s="289" t="str">
        <f aca="false">IF(I29="","",I29*H29)</f>
        <v/>
      </c>
    </row>
    <row r="30" customFormat="false" ht="45" hidden="false" customHeight="true" outlineLevel="0" collapsed="false">
      <c r="A30" s="2"/>
      <c r="B30" s="41" t="n">
        <v>10</v>
      </c>
      <c r="C30" s="270"/>
      <c r="D30" s="270"/>
      <c r="E30" s="285"/>
      <c r="F30" s="286"/>
      <c r="G30" s="287"/>
      <c r="H30" s="288"/>
      <c r="I30" s="289" t="str">
        <f aca="false">IF(E30*F30*G30=0,"",E30*F30*G30)</f>
        <v/>
      </c>
      <c r="J30" s="289" t="str">
        <f aca="false">IF(I30="","",I30*H30)</f>
        <v/>
      </c>
    </row>
    <row r="31" customFormat="false" ht="30" hidden="false" customHeight="true" outlineLevel="0" collapsed="false">
      <c r="A31" s="2"/>
      <c r="B31" s="290" t="s">
        <v>4546</v>
      </c>
      <c r="C31" s="290"/>
      <c r="D31" s="290"/>
      <c r="E31" s="290"/>
      <c r="F31" s="290"/>
      <c r="G31" s="290"/>
      <c r="H31" s="290"/>
      <c r="I31" s="2"/>
      <c r="J31" s="291" t="n">
        <f aca="false">SUM(J21:J30)</f>
        <v>0</v>
      </c>
    </row>
  </sheetData>
  <mergeCells count="4">
    <mergeCell ref="B2:J2"/>
    <mergeCell ref="B3:J3"/>
    <mergeCell ref="B19:J19"/>
    <mergeCell ref="B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L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5" min="4" style="1" width="10"/>
    <col collapsed="false" customWidth="true" hidden="false" outlineLevel="0" max="6" min="6" style="1" width="18"/>
    <col collapsed="false" customWidth="true" hidden="false" outlineLevel="0" max="7" min="7" style="1" width="28"/>
    <col collapsed="false" customWidth="true" hidden="false" outlineLevel="0" max="8" min="8" style="1" width="12"/>
    <col collapsed="false" customWidth="true" hidden="false" outlineLevel="0" max="9" min="9" style="1" width="14"/>
    <col collapsed="false" customWidth="true" hidden="false" outlineLevel="0" max="12" min="10" style="1" width="10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66" t="s">
        <v>4547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customFormat="false" ht="75" hidden="false" customHeight="true" outlineLevel="0" collapsed="false">
      <c r="A3" s="2"/>
      <c r="B3" s="4" t="s">
        <v>4548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279" t="s">
        <v>4549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267" t="s">
        <v>4550</v>
      </c>
      <c r="C6" s="267" t="s">
        <v>4551</v>
      </c>
      <c r="D6" s="267" t="s">
        <v>4552</v>
      </c>
      <c r="E6" s="267" t="s">
        <v>4553</v>
      </c>
      <c r="F6" s="267" t="s">
        <v>4554</v>
      </c>
      <c r="G6" s="267" t="s">
        <v>5952</v>
      </c>
      <c r="H6" s="267" t="s">
        <v>5953</v>
      </c>
      <c r="I6" s="267" t="s">
        <v>5954</v>
      </c>
      <c r="J6" s="267" t="s">
        <v>5955</v>
      </c>
      <c r="K6" s="2"/>
      <c r="L6" s="2"/>
    </row>
    <row r="7" customFormat="false" ht="30" hidden="false" customHeight="true" outlineLevel="0" collapsed="false">
      <c r="A7" s="2"/>
      <c r="B7" s="41" t="s">
        <v>4556</v>
      </c>
      <c r="C7" s="41" t="n">
        <v>1</v>
      </c>
      <c r="D7" s="292" t="n">
        <v>0.339</v>
      </c>
      <c r="E7" s="292" t="n">
        <v>2.032</v>
      </c>
      <c r="F7" s="41" t="s">
        <v>4557</v>
      </c>
      <c r="G7" s="41" t="s">
        <v>5956</v>
      </c>
      <c r="H7" s="41" t="n">
        <v>275</v>
      </c>
      <c r="I7" s="41" t="n">
        <v>210</v>
      </c>
      <c r="J7" s="282" t="n">
        <f aca="false">H7/I7</f>
        <v>1.30952380952381</v>
      </c>
      <c r="K7" s="2"/>
      <c r="L7" s="2"/>
    </row>
    <row r="8" customFormat="false" ht="30" hidden="false" customHeight="true" outlineLevel="0" collapsed="false">
      <c r="A8" s="2"/>
      <c r="B8" s="41" t="s">
        <v>4559</v>
      </c>
      <c r="C8" s="41" t="n">
        <v>1</v>
      </c>
      <c r="D8" s="292" t="n">
        <v>0.464</v>
      </c>
      <c r="E8" s="292" t="n">
        <v>2.768</v>
      </c>
      <c r="F8" s="41" t="s">
        <v>4560</v>
      </c>
      <c r="G8" s="41" t="s">
        <v>5956</v>
      </c>
      <c r="H8" s="41" t="n">
        <v>275</v>
      </c>
      <c r="I8" s="41" t="n">
        <v>210</v>
      </c>
      <c r="J8" s="282" t="n">
        <f aca="false">H8/I8</f>
        <v>1.30952380952381</v>
      </c>
      <c r="K8" s="2"/>
      <c r="L8" s="2"/>
    </row>
    <row r="9" customFormat="false" ht="30" hidden="false" customHeight="true" outlineLevel="0" collapsed="false">
      <c r="A9" s="2"/>
      <c r="B9" s="41" t="s">
        <v>4562</v>
      </c>
      <c r="C9" s="41" t="n">
        <v>1</v>
      </c>
      <c r="D9" s="292" t="n">
        <v>0.559</v>
      </c>
      <c r="E9" s="292" t="n">
        <v>3.351</v>
      </c>
      <c r="F9" s="41" t="s">
        <v>4560</v>
      </c>
      <c r="G9" s="41" t="s">
        <v>5956</v>
      </c>
      <c r="H9" s="41" t="n">
        <v>275</v>
      </c>
      <c r="I9" s="41" t="n">
        <v>210</v>
      </c>
      <c r="J9" s="282" t="n">
        <f aca="false">H9/I9</f>
        <v>1.30952380952381</v>
      </c>
      <c r="K9" s="2"/>
      <c r="L9" s="2"/>
    </row>
    <row r="10" customFormat="false" ht="30" hidden="false" customHeight="true" outlineLevel="0" collapsed="false">
      <c r="A10" s="2"/>
      <c r="B10" s="41" t="s">
        <v>4564</v>
      </c>
      <c r="C10" s="41" t="n">
        <v>1.2</v>
      </c>
      <c r="D10" s="292" t="n">
        <v>0.874</v>
      </c>
      <c r="E10" s="292" t="n">
        <v>5.245</v>
      </c>
      <c r="F10" s="41" t="s">
        <v>4567</v>
      </c>
      <c r="G10" s="41" t="s">
        <v>5957</v>
      </c>
      <c r="H10" s="41" t="n">
        <v>275</v>
      </c>
      <c r="I10" s="41" t="n">
        <v>210</v>
      </c>
      <c r="J10" s="282" t="n">
        <f aca="false">H10/I10</f>
        <v>1.30952380952381</v>
      </c>
      <c r="K10" s="2"/>
      <c r="L10" s="2"/>
    </row>
    <row r="11" customFormat="false" ht="30" hidden="false" customHeight="true" outlineLevel="0" collapsed="false">
      <c r="A11" s="2"/>
      <c r="B11" s="41" t="s">
        <v>4569</v>
      </c>
      <c r="C11" s="41" t="n">
        <v>1.6</v>
      </c>
      <c r="D11" s="292" t="n">
        <v>1.505</v>
      </c>
      <c r="E11" s="292" t="n">
        <v>9.028</v>
      </c>
      <c r="F11" s="41" t="s">
        <v>4572</v>
      </c>
      <c r="G11" s="41" t="s">
        <v>5958</v>
      </c>
      <c r="H11" s="41" t="n">
        <v>275</v>
      </c>
      <c r="I11" s="41" t="n">
        <v>210</v>
      </c>
      <c r="J11" s="282" t="n">
        <f aca="false">H11/I11</f>
        <v>1.30952380952381</v>
      </c>
      <c r="K11" s="2"/>
      <c r="L11" s="2"/>
    </row>
    <row r="12" customFormat="false" ht="30" hidden="false" customHeight="true" outlineLevel="0" collapsed="false">
      <c r="A12" s="2"/>
      <c r="B12" s="41" t="s">
        <v>4574</v>
      </c>
      <c r="C12" s="41" t="n">
        <v>1.6</v>
      </c>
      <c r="D12" s="292" t="n">
        <v>1.808</v>
      </c>
      <c r="E12" s="292" t="n">
        <v>10.846</v>
      </c>
      <c r="F12" s="41" t="s">
        <v>4577</v>
      </c>
      <c r="G12" s="41" t="s">
        <v>5958</v>
      </c>
      <c r="H12" s="41" t="n">
        <v>275</v>
      </c>
      <c r="I12" s="41" t="n">
        <v>210</v>
      </c>
      <c r="J12" s="282" t="n">
        <f aca="false">H12/I12</f>
        <v>1.30952380952381</v>
      </c>
      <c r="K12" s="2"/>
      <c r="L12" s="2"/>
    </row>
    <row r="13" customFormat="false" ht="18" hidden="false" customHeight="true" outlineLevel="0" collapsed="false">
      <c r="A13" s="2"/>
      <c r="B13" s="41" t="s">
        <v>4579</v>
      </c>
      <c r="C13" s="41" t="n">
        <v>1.6</v>
      </c>
      <c r="D13" s="292" t="n">
        <v>2.413</v>
      </c>
      <c r="E13" s="292" t="n">
        <v>14.476</v>
      </c>
      <c r="F13" s="41" t="s">
        <v>4577</v>
      </c>
      <c r="G13" s="41" t="s">
        <v>5959</v>
      </c>
      <c r="H13" s="41" t="n">
        <v>275</v>
      </c>
      <c r="I13" s="41" t="n">
        <v>210</v>
      </c>
      <c r="J13" s="282" t="n">
        <f aca="false">H13/I13</f>
        <v>1.30952380952381</v>
      </c>
      <c r="K13" s="2"/>
      <c r="L13" s="2"/>
    </row>
    <row r="14" customFormat="false" ht="18" hidden="false" customHeight="true" outlineLevel="0" collapsed="false">
      <c r="A14" s="2"/>
      <c r="B14" s="41" t="s">
        <v>4583</v>
      </c>
      <c r="C14" s="41" t="n">
        <v>2.3</v>
      </c>
      <c r="D14" s="292" t="n">
        <v>5.216</v>
      </c>
      <c r="E14" s="292" t="n">
        <v>31.295</v>
      </c>
      <c r="F14" s="41" t="s">
        <v>4586</v>
      </c>
      <c r="G14" s="41" t="s">
        <v>5960</v>
      </c>
      <c r="H14" s="41" t="n">
        <v>275</v>
      </c>
      <c r="I14" s="41" t="n">
        <v>210</v>
      </c>
      <c r="J14" s="282" t="n">
        <f aca="false">H14/I14</f>
        <v>1.30952380952381</v>
      </c>
      <c r="K14" s="2"/>
      <c r="L14" s="2"/>
    </row>
    <row r="15" customFormat="false" ht="18" hidden="false" customHeight="true" outlineLevel="0" collapsed="false">
      <c r="A15" s="2"/>
      <c r="B15" s="41" t="s">
        <v>4588</v>
      </c>
      <c r="C15" s="41" t="n">
        <v>3.2</v>
      </c>
      <c r="D15" s="292" t="n">
        <v>9.62</v>
      </c>
      <c r="E15" s="292" t="n">
        <v>57.72</v>
      </c>
      <c r="F15" s="41" t="s">
        <v>4590</v>
      </c>
      <c r="G15" s="41" t="s">
        <v>5961</v>
      </c>
      <c r="H15" s="41" t="n">
        <v>275</v>
      </c>
      <c r="I15" s="41" t="n">
        <v>210</v>
      </c>
      <c r="J15" s="282" t="n">
        <f aca="false">H15/I15</f>
        <v>1.30952380952381</v>
      </c>
      <c r="K15" s="2"/>
      <c r="L15" s="2"/>
    </row>
    <row r="16" customFormat="false" ht="18" hidden="false" customHeight="true" outlineLevel="0" collapsed="false">
      <c r="A16" s="2"/>
      <c r="B16" s="41" t="s">
        <v>4592</v>
      </c>
      <c r="C16" s="41" t="n">
        <v>4.5</v>
      </c>
      <c r="D16" s="292" t="n">
        <v>20.4</v>
      </c>
      <c r="E16" s="292" t="n">
        <v>122.4</v>
      </c>
      <c r="F16" s="41" t="s">
        <v>4595</v>
      </c>
      <c r="G16" s="41" t="s">
        <v>5962</v>
      </c>
      <c r="H16" s="41" t="n">
        <v>275</v>
      </c>
      <c r="I16" s="41" t="n">
        <v>210</v>
      </c>
      <c r="J16" s="282" t="n">
        <f aca="false">H16/I16</f>
        <v>1.30952380952381</v>
      </c>
      <c r="K16" s="2"/>
      <c r="L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customFormat="false" ht="45" hidden="false" customHeight="true" outlineLevel="0" collapsed="false">
      <c r="A19" s="2"/>
      <c r="B19" s="279" t="s">
        <v>4597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customFormat="false" ht="30" hidden="false" customHeight="true" outlineLevel="0" collapsed="false">
      <c r="A20" s="2"/>
      <c r="B20" s="267" t="s">
        <v>4550</v>
      </c>
      <c r="C20" s="267" t="s">
        <v>4551</v>
      </c>
      <c r="D20" s="267" t="s">
        <v>4552</v>
      </c>
      <c r="E20" s="267" t="s">
        <v>4553</v>
      </c>
      <c r="F20" s="267" t="s">
        <v>4554</v>
      </c>
      <c r="G20" s="267" t="s">
        <v>5952</v>
      </c>
      <c r="H20" s="267" t="s">
        <v>5953</v>
      </c>
      <c r="I20" s="267" t="s">
        <v>5954</v>
      </c>
      <c r="J20" s="267" t="s">
        <v>5955</v>
      </c>
      <c r="K20" s="2"/>
      <c r="L20" s="2"/>
    </row>
    <row r="21" customFormat="false" ht="18" hidden="false" customHeight="true" outlineLevel="0" collapsed="false">
      <c r="A21" s="2"/>
      <c r="B21" s="41" t="s">
        <v>4598</v>
      </c>
      <c r="C21" s="41" t="n">
        <v>1.2</v>
      </c>
      <c r="D21" s="292" t="n">
        <v>0.655</v>
      </c>
      <c r="E21" s="292" t="n">
        <v>3.929</v>
      </c>
      <c r="F21" s="41" t="s">
        <v>4601</v>
      </c>
      <c r="G21" s="41" t="s">
        <v>5963</v>
      </c>
      <c r="H21" s="41" t="n">
        <v>275</v>
      </c>
      <c r="I21" s="41" t="n">
        <v>210</v>
      </c>
      <c r="J21" s="282" t="n">
        <f aca="false">H21/I21</f>
        <v>1.30952380952381</v>
      </c>
      <c r="K21" s="2"/>
      <c r="L21" s="2"/>
    </row>
    <row r="22" customFormat="false" ht="18" hidden="false" customHeight="true" outlineLevel="0" collapsed="false">
      <c r="A22" s="2"/>
      <c r="B22" s="41" t="s">
        <v>4603</v>
      </c>
      <c r="C22" s="41" t="n">
        <v>1.6</v>
      </c>
      <c r="D22" s="292" t="n">
        <v>1.404</v>
      </c>
      <c r="E22" s="292" t="n">
        <v>8.427</v>
      </c>
      <c r="F22" s="41" t="s">
        <v>4606</v>
      </c>
      <c r="G22" s="41" t="s">
        <v>5964</v>
      </c>
      <c r="H22" s="41" t="n">
        <v>275</v>
      </c>
      <c r="I22" s="41" t="n">
        <v>210</v>
      </c>
      <c r="J22" s="282" t="n">
        <f aca="false">H22/I22</f>
        <v>1.30952380952381</v>
      </c>
      <c r="K22" s="2"/>
      <c r="L22" s="2"/>
    </row>
    <row r="23" customFormat="false" ht="18" hidden="false" customHeight="true" outlineLevel="0" collapsed="false">
      <c r="A23" s="2"/>
      <c r="B23" s="41" t="s">
        <v>4608</v>
      </c>
      <c r="C23" s="41" t="n">
        <v>1.6</v>
      </c>
      <c r="D23" s="292" t="n">
        <v>1.808</v>
      </c>
      <c r="E23" s="292" t="n">
        <v>10.846</v>
      </c>
      <c r="F23" s="41" t="s">
        <v>4572</v>
      </c>
      <c r="G23" s="41" t="s">
        <v>5965</v>
      </c>
      <c r="H23" s="41" t="n">
        <v>275</v>
      </c>
      <c r="I23" s="41" t="n">
        <v>210</v>
      </c>
      <c r="J23" s="282" t="n">
        <f aca="false">H23/I23</f>
        <v>1.30952380952381</v>
      </c>
      <c r="K23" s="2"/>
      <c r="L23" s="2"/>
    </row>
    <row r="24" customFormat="false" ht="18" hidden="false" customHeight="true" outlineLevel="0" collapsed="false">
      <c r="A24" s="2"/>
      <c r="B24" s="41" t="s">
        <v>4610</v>
      </c>
      <c r="C24" s="41" t="n">
        <v>2.3</v>
      </c>
      <c r="D24" s="292" t="n">
        <v>4.414</v>
      </c>
      <c r="E24" s="292" t="n">
        <v>26.484</v>
      </c>
      <c r="F24" s="41" t="s">
        <v>4586</v>
      </c>
      <c r="G24" s="41" t="s">
        <v>5966</v>
      </c>
      <c r="H24" s="41" t="n">
        <v>275</v>
      </c>
      <c r="I24" s="41" t="n">
        <v>210</v>
      </c>
      <c r="J24" s="282" t="n">
        <f aca="false">H24/I24</f>
        <v>1.30952380952381</v>
      </c>
      <c r="K24" s="2"/>
      <c r="L24" s="2"/>
    </row>
    <row r="25" customFormat="false" ht="18" hidden="false" customHeight="true" outlineLevel="0" collapsed="false">
      <c r="A25" s="2"/>
      <c r="B25" s="41" t="s">
        <v>4614</v>
      </c>
      <c r="C25" s="41" t="n">
        <v>2.3</v>
      </c>
      <c r="D25" s="292" t="n">
        <v>5.416</v>
      </c>
      <c r="E25" s="292" t="n">
        <v>32.496</v>
      </c>
      <c r="F25" s="41" t="s">
        <v>4617</v>
      </c>
      <c r="G25" s="41" t="s">
        <v>5967</v>
      </c>
      <c r="H25" s="41" t="n">
        <v>275</v>
      </c>
      <c r="I25" s="41" t="n">
        <v>210</v>
      </c>
      <c r="J25" s="282" t="n">
        <f aca="false">H25/I25</f>
        <v>1.30952380952381</v>
      </c>
      <c r="K25" s="2"/>
      <c r="L25" s="2"/>
    </row>
    <row r="26" customFormat="false" ht="18" hidden="false" customHeight="true" outlineLevel="0" collapsed="false">
      <c r="A26" s="2"/>
      <c r="B26" s="41" t="s">
        <v>4619</v>
      </c>
      <c r="C26" s="41" t="n">
        <v>4.5</v>
      </c>
      <c r="D26" s="292" t="n">
        <v>15.27</v>
      </c>
      <c r="E26" s="292" t="n">
        <v>91.62</v>
      </c>
      <c r="F26" s="41" t="s">
        <v>4595</v>
      </c>
      <c r="G26" s="41" t="s">
        <v>5968</v>
      </c>
      <c r="H26" s="41" t="n">
        <v>275</v>
      </c>
      <c r="I26" s="41" t="n">
        <v>210</v>
      </c>
      <c r="J26" s="282" t="n">
        <f aca="false">H26/I26</f>
        <v>1.30952380952381</v>
      </c>
      <c r="K26" s="2"/>
      <c r="L26" s="2"/>
    </row>
    <row r="27" customFormat="false" ht="1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customFormat="false" ht="1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customFormat="false" ht="30" hidden="false" customHeight="true" outlineLevel="0" collapsed="false">
      <c r="A29" s="2"/>
      <c r="B29" s="279" t="s">
        <v>4623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customFormat="false" ht="120" hidden="false" customHeight="true" outlineLevel="0" collapsed="false">
      <c r="A30" s="2"/>
      <c r="B30" s="293" t="s">
        <v>4624</v>
      </c>
      <c r="C30" s="52" t="s">
        <v>4625</v>
      </c>
      <c r="D30" s="52"/>
      <c r="E30" s="52"/>
      <c r="F30" s="52"/>
      <c r="G30" s="52"/>
      <c r="H30" s="52"/>
      <c r="I30" s="52"/>
      <c r="J30" s="52"/>
      <c r="K30" s="52"/>
      <c r="L30" s="52"/>
    </row>
    <row r="31" customFormat="false" ht="120" hidden="false" customHeight="true" outlineLevel="0" collapsed="false">
      <c r="A31" s="2"/>
      <c r="B31" s="293" t="s">
        <v>4627</v>
      </c>
      <c r="C31" s="52" t="s">
        <v>4628</v>
      </c>
      <c r="D31" s="52"/>
      <c r="E31" s="52"/>
      <c r="F31" s="52"/>
      <c r="G31" s="52"/>
      <c r="H31" s="52"/>
      <c r="I31" s="52"/>
      <c r="J31" s="52"/>
      <c r="K31" s="52"/>
      <c r="L31" s="52"/>
    </row>
    <row r="32" customFormat="false" ht="120" hidden="false" customHeight="true" outlineLevel="0" collapsed="false">
      <c r="A32" s="2"/>
      <c r="B32" s="293" t="s">
        <v>4630</v>
      </c>
      <c r="C32" s="52" t="s">
        <v>4631</v>
      </c>
      <c r="D32" s="52"/>
      <c r="E32" s="52"/>
      <c r="F32" s="52"/>
      <c r="G32" s="52"/>
      <c r="H32" s="52"/>
      <c r="I32" s="52"/>
      <c r="J32" s="52"/>
      <c r="K32" s="52"/>
      <c r="L32" s="52"/>
    </row>
    <row r="33" customFormat="false" ht="90" hidden="false" customHeight="true" outlineLevel="0" collapsed="false">
      <c r="A33" s="2"/>
      <c r="B33" s="293" t="s">
        <v>4633</v>
      </c>
      <c r="C33" s="52" t="s">
        <v>4634</v>
      </c>
      <c r="D33" s="52"/>
      <c r="E33" s="52"/>
      <c r="F33" s="52"/>
      <c r="G33" s="52"/>
      <c r="H33" s="52"/>
      <c r="I33" s="52"/>
      <c r="J33" s="52"/>
      <c r="K33" s="52"/>
      <c r="L33" s="52"/>
    </row>
    <row r="34" customFormat="false" ht="120" hidden="false" customHeight="true" outlineLevel="0" collapsed="false">
      <c r="A34" s="2"/>
      <c r="B34" s="293" t="s">
        <v>4636</v>
      </c>
      <c r="C34" s="52" t="s">
        <v>4637</v>
      </c>
      <c r="D34" s="52"/>
      <c r="E34" s="52"/>
      <c r="F34" s="52"/>
      <c r="G34" s="52"/>
      <c r="H34" s="52"/>
      <c r="I34" s="52"/>
      <c r="J34" s="52"/>
      <c r="K34" s="52"/>
      <c r="L34" s="52"/>
    </row>
    <row r="35" customFormat="false" ht="60" hidden="false" customHeight="true" outlineLevel="0" collapsed="false">
      <c r="A35" s="2"/>
      <c r="B35" s="293" t="s">
        <v>4639</v>
      </c>
      <c r="C35" s="52" t="s">
        <v>4640</v>
      </c>
      <c r="D35" s="52"/>
      <c r="E35" s="52"/>
      <c r="F35" s="52"/>
      <c r="G35" s="52"/>
      <c r="H35" s="52"/>
      <c r="I35" s="52"/>
      <c r="J35" s="52"/>
      <c r="K35" s="52"/>
      <c r="L35" s="52"/>
    </row>
  </sheetData>
  <mergeCells count="8">
    <mergeCell ref="B2:L2"/>
    <mergeCell ref="B3:L3"/>
    <mergeCell ref="C30:L30"/>
    <mergeCell ref="C31:L31"/>
    <mergeCell ref="C32:L32"/>
    <mergeCell ref="C33:L33"/>
    <mergeCell ref="C34:L34"/>
    <mergeCell ref="C35:L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701"/>
    <pageSetUpPr fitToPage="false"/>
  </sheetPr>
  <dimension ref="A1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12"/>
    <col collapsed="false" customWidth="true" hidden="false" outlineLevel="0" max="5" min="4" style="1" width="16"/>
    <col collapsed="false" customWidth="true" hidden="false" outlineLevel="0" max="6" min="6" style="1" width="22"/>
    <col collapsed="false" customWidth="true" hidden="false" outlineLevel="0" max="7" min="7" style="1" width="14"/>
    <col collapsed="false" customWidth="true" hidden="false" outlineLevel="0" max="8" min="8" style="1" width="40"/>
    <col collapsed="false" customWidth="true" hidden="false" outlineLevel="0" max="9" min="9" style="1" width="12"/>
    <col collapsed="false" customWidth="true" hidden="false" outlineLevel="0" max="10" min="10" style="1" width="40"/>
    <col collapsed="false" customWidth="true" hidden="false" outlineLevel="0" max="11" min="11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75" hidden="false" customHeight="true" outlineLevel="0" collapsed="false">
      <c r="A2" s="2"/>
      <c r="B2" s="39" t="s">
        <v>208</v>
      </c>
      <c r="C2" s="39"/>
      <c r="D2" s="39"/>
      <c r="E2" s="39"/>
      <c r="F2" s="39"/>
      <c r="G2" s="39"/>
      <c r="H2" s="39"/>
      <c r="I2" s="39"/>
      <c r="J2" s="39"/>
      <c r="K2" s="39"/>
    </row>
    <row r="3" customFormat="false" ht="120" hidden="false" customHeight="true" outlineLevel="0" collapsed="false">
      <c r="A3" s="2"/>
      <c r="B3" s="4" t="s">
        <v>209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30" hidden="false" customHeight="true" outlineLevel="0" collapsed="false">
      <c r="A5" s="2"/>
      <c r="B5" s="40" t="s">
        <v>38</v>
      </c>
      <c r="C5" s="40" t="s">
        <v>210</v>
      </c>
      <c r="D5" s="40" t="s">
        <v>211</v>
      </c>
      <c r="E5" s="40" t="s">
        <v>212</v>
      </c>
      <c r="F5" s="40" t="s">
        <v>213</v>
      </c>
      <c r="G5" s="40" t="s">
        <v>214</v>
      </c>
      <c r="H5" s="40" t="s">
        <v>215</v>
      </c>
      <c r="I5" s="40" t="s">
        <v>216</v>
      </c>
      <c r="J5" s="40" t="s">
        <v>217</v>
      </c>
      <c r="K5" s="40" t="s">
        <v>218</v>
      </c>
    </row>
    <row r="6" customFormat="false" ht="18" hidden="false" customHeight="true" outlineLevel="0" collapsed="false">
      <c r="A6" s="2"/>
      <c r="B6" s="41" t="n">
        <v>1</v>
      </c>
      <c r="C6" s="42"/>
      <c r="D6" s="42"/>
      <c r="E6" s="42"/>
      <c r="F6" s="42"/>
      <c r="G6" s="42"/>
      <c r="H6" s="43"/>
      <c r="I6" s="41"/>
      <c r="J6" s="24"/>
      <c r="K6" s="24"/>
    </row>
    <row r="7" customFormat="false" ht="18" hidden="false" customHeight="true" outlineLevel="0" collapsed="false">
      <c r="A7" s="2"/>
      <c r="B7" s="41" t="n">
        <v>2</v>
      </c>
      <c r="C7" s="42"/>
      <c r="D7" s="42"/>
      <c r="E7" s="42"/>
      <c r="F7" s="42"/>
      <c r="G7" s="42"/>
      <c r="H7" s="43"/>
      <c r="I7" s="41"/>
      <c r="J7" s="24"/>
      <c r="K7" s="24"/>
    </row>
    <row r="8" customFormat="false" ht="18" hidden="false" customHeight="true" outlineLevel="0" collapsed="false">
      <c r="A8" s="2"/>
      <c r="B8" s="41" t="n">
        <v>3</v>
      </c>
      <c r="C8" s="42"/>
      <c r="D8" s="42"/>
      <c r="E8" s="42"/>
      <c r="F8" s="42"/>
      <c r="G8" s="42"/>
      <c r="H8" s="43"/>
      <c r="I8" s="41"/>
      <c r="J8" s="24"/>
      <c r="K8" s="24"/>
    </row>
    <row r="9" customFormat="false" ht="18" hidden="false" customHeight="true" outlineLevel="0" collapsed="false">
      <c r="A9" s="2"/>
      <c r="B9" s="41" t="n">
        <v>4</v>
      </c>
      <c r="C9" s="42"/>
      <c r="D9" s="42"/>
      <c r="E9" s="42"/>
      <c r="F9" s="42"/>
      <c r="G9" s="42"/>
      <c r="H9" s="43"/>
      <c r="I9" s="41"/>
      <c r="J9" s="24"/>
      <c r="K9" s="24"/>
    </row>
    <row r="10" customFormat="false" ht="18" hidden="false" customHeight="true" outlineLevel="0" collapsed="false">
      <c r="A10" s="2"/>
      <c r="B10" s="41" t="n">
        <v>5</v>
      </c>
      <c r="C10" s="42"/>
      <c r="D10" s="42"/>
      <c r="E10" s="42"/>
      <c r="F10" s="42"/>
      <c r="G10" s="42"/>
      <c r="H10" s="43"/>
      <c r="I10" s="41"/>
      <c r="J10" s="24"/>
      <c r="K10" s="24"/>
    </row>
    <row r="11" customFormat="false" ht="18" hidden="false" customHeight="true" outlineLevel="0" collapsed="false">
      <c r="A11" s="2"/>
      <c r="B11" s="41" t="n">
        <v>6</v>
      </c>
      <c r="C11" s="42"/>
      <c r="D11" s="42"/>
      <c r="E11" s="42"/>
      <c r="F11" s="42"/>
      <c r="G11" s="42"/>
      <c r="H11" s="43"/>
      <c r="I11" s="41"/>
      <c r="J11" s="24"/>
      <c r="K11" s="24"/>
    </row>
    <row r="12" customFormat="false" ht="18" hidden="false" customHeight="true" outlineLevel="0" collapsed="false">
      <c r="A12" s="2"/>
      <c r="B12" s="41" t="n">
        <v>7</v>
      </c>
      <c r="C12" s="42"/>
      <c r="D12" s="42"/>
      <c r="E12" s="42"/>
      <c r="F12" s="42"/>
      <c r="G12" s="42"/>
      <c r="H12" s="43"/>
      <c r="I12" s="41"/>
      <c r="J12" s="24"/>
      <c r="K12" s="24"/>
    </row>
    <row r="13" customFormat="false" ht="18" hidden="false" customHeight="true" outlineLevel="0" collapsed="false">
      <c r="A13" s="2"/>
      <c r="B13" s="41" t="n">
        <v>8</v>
      </c>
      <c r="C13" s="42"/>
      <c r="D13" s="42"/>
      <c r="E13" s="42"/>
      <c r="F13" s="42"/>
      <c r="G13" s="42"/>
      <c r="H13" s="43"/>
      <c r="I13" s="41"/>
      <c r="J13" s="24"/>
      <c r="K13" s="24"/>
    </row>
    <row r="14" customFormat="false" ht="18" hidden="false" customHeight="true" outlineLevel="0" collapsed="false">
      <c r="A14" s="2"/>
      <c r="B14" s="41" t="n">
        <v>9</v>
      </c>
      <c r="C14" s="42"/>
      <c r="D14" s="42"/>
      <c r="E14" s="42"/>
      <c r="F14" s="42"/>
      <c r="G14" s="42"/>
      <c r="H14" s="43"/>
      <c r="I14" s="41"/>
      <c r="J14" s="24"/>
      <c r="K14" s="24"/>
    </row>
    <row r="15" customFormat="false" ht="18" hidden="false" customHeight="true" outlineLevel="0" collapsed="false">
      <c r="A15" s="2"/>
      <c r="B15" s="41" t="n">
        <v>10</v>
      </c>
      <c r="C15" s="42"/>
      <c r="D15" s="42"/>
      <c r="E15" s="42"/>
      <c r="F15" s="42"/>
      <c r="G15" s="42"/>
      <c r="H15" s="43"/>
      <c r="I15" s="41"/>
      <c r="J15" s="24"/>
      <c r="K15" s="24"/>
    </row>
    <row r="16" customFormat="false" ht="18" hidden="false" customHeight="true" outlineLevel="0" collapsed="false">
      <c r="A16" s="2"/>
      <c r="B16" s="41" t="n">
        <v>11</v>
      </c>
      <c r="C16" s="42"/>
      <c r="D16" s="42"/>
      <c r="E16" s="42"/>
      <c r="F16" s="42"/>
      <c r="G16" s="42"/>
      <c r="H16" s="43"/>
      <c r="I16" s="41"/>
      <c r="J16" s="24"/>
      <c r="K16" s="24"/>
    </row>
    <row r="17" customFormat="false" ht="18" hidden="false" customHeight="true" outlineLevel="0" collapsed="false">
      <c r="A17" s="2"/>
      <c r="B17" s="41" t="n">
        <v>12</v>
      </c>
      <c r="C17" s="42"/>
      <c r="D17" s="42"/>
      <c r="E17" s="42"/>
      <c r="F17" s="42"/>
      <c r="G17" s="42"/>
      <c r="H17" s="43"/>
      <c r="I17" s="41"/>
      <c r="J17" s="24"/>
      <c r="K17" s="24"/>
    </row>
    <row r="18" customFormat="false" ht="18" hidden="false" customHeight="true" outlineLevel="0" collapsed="false">
      <c r="A18" s="2"/>
      <c r="B18" s="41" t="n">
        <v>13</v>
      </c>
      <c r="C18" s="42"/>
      <c r="D18" s="42"/>
      <c r="E18" s="42"/>
      <c r="F18" s="42"/>
      <c r="G18" s="42"/>
      <c r="H18" s="43"/>
      <c r="I18" s="41"/>
      <c r="J18" s="24"/>
      <c r="K18" s="24"/>
    </row>
    <row r="19" customFormat="false" ht="18" hidden="false" customHeight="true" outlineLevel="0" collapsed="false">
      <c r="A19" s="2"/>
      <c r="B19" s="41" t="n">
        <v>14</v>
      </c>
      <c r="C19" s="42"/>
      <c r="D19" s="42"/>
      <c r="E19" s="42"/>
      <c r="F19" s="42"/>
      <c r="G19" s="42"/>
      <c r="H19" s="43"/>
      <c r="I19" s="41"/>
      <c r="J19" s="24"/>
      <c r="K19" s="24"/>
    </row>
    <row r="20" customFormat="false" ht="18" hidden="false" customHeight="true" outlineLevel="0" collapsed="false">
      <c r="A20" s="2"/>
      <c r="B20" s="41" t="n">
        <v>15</v>
      </c>
      <c r="C20" s="42"/>
      <c r="D20" s="42"/>
      <c r="E20" s="42"/>
      <c r="F20" s="42"/>
      <c r="G20" s="42"/>
      <c r="H20" s="43"/>
      <c r="I20" s="41"/>
      <c r="J20" s="24"/>
      <c r="K20" s="24"/>
    </row>
    <row r="21" customFormat="false" ht="18" hidden="false" customHeight="true" outlineLevel="0" collapsed="false">
      <c r="A21" s="2"/>
      <c r="B21" s="41" t="n">
        <v>16</v>
      </c>
      <c r="C21" s="42"/>
      <c r="D21" s="42"/>
      <c r="E21" s="42"/>
      <c r="F21" s="42"/>
      <c r="G21" s="42"/>
      <c r="H21" s="43"/>
      <c r="I21" s="41"/>
      <c r="J21" s="24"/>
      <c r="K21" s="24"/>
    </row>
    <row r="22" customFormat="false" ht="18" hidden="false" customHeight="true" outlineLevel="0" collapsed="false">
      <c r="A22" s="2"/>
      <c r="B22" s="41" t="n">
        <v>17</v>
      </c>
      <c r="C22" s="42"/>
      <c r="D22" s="42"/>
      <c r="E22" s="42"/>
      <c r="F22" s="42"/>
      <c r="G22" s="42"/>
      <c r="H22" s="43"/>
      <c r="I22" s="41"/>
      <c r="J22" s="24"/>
      <c r="K22" s="24"/>
    </row>
    <row r="23" customFormat="false" ht="18" hidden="false" customHeight="true" outlineLevel="0" collapsed="false">
      <c r="A23" s="2"/>
      <c r="B23" s="41" t="n">
        <v>18</v>
      </c>
      <c r="C23" s="42"/>
      <c r="D23" s="42"/>
      <c r="E23" s="42"/>
      <c r="F23" s="42"/>
      <c r="G23" s="42"/>
      <c r="H23" s="43"/>
      <c r="I23" s="41"/>
      <c r="J23" s="24"/>
      <c r="K23" s="24"/>
    </row>
    <row r="24" customFormat="false" ht="18" hidden="false" customHeight="true" outlineLevel="0" collapsed="false">
      <c r="A24" s="2"/>
      <c r="B24" s="41" t="n">
        <v>19</v>
      </c>
      <c r="C24" s="42"/>
      <c r="D24" s="42"/>
      <c r="E24" s="42"/>
      <c r="F24" s="42"/>
      <c r="G24" s="42"/>
      <c r="H24" s="43"/>
      <c r="I24" s="41"/>
      <c r="J24" s="24"/>
      <c r="K24" s="24"/>
    </row>
    <row r="25" customFormat="false" ht="18" hidden="false" customHeight="true" outlineLevel="0" collapsed="false">
      <c r="A25" s="2"/>
      <c r="B25" s="41" t="n">
        <v>20</v>
      </c>
      <c r="C25" s="42"/>
      <c r="D25" s="42"/>
      <c r="E25" s="42"/>
      <c r="F25" s="42"/>
      <c r="G25" s="42"/>
      <c r="H25" s="43"/>
      <c r="I25" s="41"/>
      <c r="J25" s="24"/>
      <c r="K25" s="24"/>
    </row>
    <row r="26" customFormat="false" ht="18" hidden="false" customHeight="true" outlineLevel="0" collapsed="false">
      <c r="A26" s="2"/>
      <c r="B26" s="41" t="n">
        <v>21</v>
      </c>
      <c r="C26" s="42"/>
      <c r="D26" s="42"/>
      <c r="E26" s="42"/>
      <c r="F26" s="42"/>
      <c r="G26" s="42"/>
      <c r="H26" s="43"/>
      <c r="I26" s="41"/>
      <c r="J26" s="24"/>
      <c r="K26" s="24"/>
    </row>
    <row r="27" customFormat="false" ht="18" hidden="false" customHeight="true" outlineLevel="0" collapsed="false">
      <c r="A27" s="2"/>
      <c r="B27" s="41" t="n">
        <v>22</v>
      </c>
      <c r="C27" s="42"/>
      <c r="D27" s="42"/>
      <c r="E27" s="42"/>
      <c r="F27" s="42"/>
      <c r="G27" s="42"/>
      <c r="H27" s="43"/>
      <c r="I27" s="41"/>
      <c r="J27" s="24"/>
      <c r="K27" s="24"/>
    </row>
    <row r="28" customFormat="false" ht="18" hidden="false" customHeight="true" outlineLevel="0" collapsed="false">
      <c r="A28" s="2"/>
      <c r="B28" s="41" t="n">
        <v>23</v>
      </c>
      <c r="C28" s="42"/>
      <c r="D28" s="42"/>
      <c r="E28" s="42"/>
      <c r="F28" s="42"/>
      <c r="G28" s="42"/>
      <c r="H28" s="43"/>
      <c r="I28" s="41"/>
      <c r="J28" s="24"/>
      <c r="K28" s="24"/>
    </row>
    <row r="29" customFormat="false" ht="18" hidden="false" customHeight="true" outlineLevel="0" collapsed="false">
      <c r="A29" s="2"/>
      <c r="B29" s="41" t="n">
        <v>24</v>
      </c>
      <c r="C29" s="42"/>
      <c r="D29" s="42"/>
      <c r="E29" s="42"/>
      <c r="F29" s="42"/>
      <c r="G29" s="42"/>
      <c r="H29" s="43"/>
      <c r="I29" s="41"/>
      <c r="J29" s="24"/>
      <c r="K29" s="24"/>
    </row>
    <row r="30" customFormat="false" ht="18" hidden="false" customHeight="true" outlineLevel="0" collapsed="false">
      <c r="A30" s="2"/>
      <c r="B30" s="41" t="n">
        <v>25</v>
      </c>
      <c r="C30" s="42"/>
      <c r="D30" s="42"/>
      <c r="E30" s="42"/>
      <c r="F30" s="42"/>
      <c r="G30" s="42"/>
      <c r="H30" s="43"/>
      <c r="I30" s="41"/>
      <c r="J30" s="24"/>
      <c r="K30" s="24"/>
    </row>
    <row r="31" customFormat="false" ht="18" hidden="false" customHeight="true" outlineLevel="0" collapsed="false">
      <c r="A31" s="2"/>
      <c r="B31" s="41" t="n">
        <v>26</v>
      </c>
      <c r="C31" s="42"/>
      <c r="D31" s="42"/>
      <c r="E31" s="42"/>
      <c r="F31" s="42"/>
      <c r="G31" s="42"/>
      <c r="H31" s="43"/>
      <c r="I31" s="41"/>
      <c r="J31" s="24"/>
      <c r="K31" s="24"/>
    </row>
    <row r="32" customFormat="false" ht="18" hidden="false" customHeight="true" outlineLevel="0" collapsed="false">
      <c r="A32" s="2"/>
      <c r="B32" s="41" t="n">
        <v>27</v>
      </c>
      <c r="C32" s="42"/>
      <c r="D32" s="42"/>
      <c r="E32" s="42"/>
      <c r="F32" s="42"/>
      <c r="G32" s="42"/>
      <c r="H32" s="43"/>
      <c r="I32" s="41"/>
      <c r="J32" s="24"/>
      <c r="K32" s="24"/>
    </row>
    <row r="33" customFormat="false" ht="18" hidden="false" customHeight="true" outlineLevel="0" collapsed="false">
      <c r="A33" s="2"/>
      <c r="B33" s="41" t="n">
        <v>28</v>
      </c>
      <c r="C33" s="42"/>
      <c r="D33" s="42"/>
      <c r="E33" s="42"/>
      <c r="F33" s="42"/>
      <c r="G33" s="42"/>
      <c r="H33" s="43"/>
      <c r="I33" s="41"/>
      <c r="J33" s="24"/>
      <c r="K33" s="24"/>
    </row>
    <row r="34" customFormat="false" ht="18" hidden="false" customHeight="true" outlineLevel="0" collapsed="false">
      <c r="A34" s="2"/>
      <c r="B34" s="41" t="n">
        <v>29</v>
      </c>
      <c r="C34" s="42"/>
      <c r="D34" s="42"/>
      <c r="E34" s="42"/>
      <c r="F34" s="42"/>
      <c r="G34" s="42"/>
      <c r="H34" s="43"/>
      <c r="I34" s="41"/>
      <c r="J34" s="24"/>
      <c r="K34" s="24"/>
    </row>
    <row r="35" customFormat="false" ht="18" hidden="false" customHeight="true" outlineLevel="0" collapsed="false">
      <c r="A35" s="2"/>
      <c r="B35" s="41" t="n">
        <v>30</v>
      </c>
      <c r="C35" s="42"/>
      <c r="D35" s="42"/>
      <c r="E35" s="42"/>
      <c r="F35" s="42"/>
      <c r="G35" s="42"/>
      <c r="H35" s="43"/>
      <c r="I35" s="41"/>
      <c r="J35" s="24"/>
      <c r="K35" s="24"/>
    </row>
    <row r="36" customFormat="false" ht="18" hidden="false" customHeight="true" outlineLevel="0" collapsed="false">
      <c r="A36" s="2"/>
      <c r="B36" s="41" t="n">
        <v>31</v>
      </c>
      <c r="C36" s="42"/>
      <c r="D36" s="42"/>
      <c r="E36" s="42"/>
      <c r="F36" s="42"/>
      <c r="G36" s="42"/>
      <c r="H36" s="43"/>
      <c r="I36" s="41"/>
      <c r="J36" s="24"/>
      <c r="K36" s="24"/>
    </row>
    <row r="37" customFormat="false" ht="18" hidden="false" customHeight="true" outlineLevel="0" collapsed="false">
      <c r="A37" s="2"/>
      <c r="B37" s="41" t="n">
        <v>32</v>
      </c>
      <c r="C37" s="42"/>
      <c r="D37" s="42"/>
      <c r="E37" s="42"/>
      <c r="F37" s="42"/>
      <c r="G37" s="42"/>
      <c r="H37" s="43"/>
      <c r="I37" s="41"/>
      <c r="J37" s="24"/>
      <c r="K37" s="24"/>
    </row>
    <row r="38" customFormat="false" ht="18" hidden="false" customHeight="true" outlineLevel="0" collapsed="false">
      <c r="A38" s="2"/>
      <c r="B38" s="41" t="n">
        <v>33</v>
      </c>
      <c r="C38" s="42"/>
      <c r="D38" s="42"/>
      <c r="E38" s="42"/>
      <c r="F38" s="42"/>
      <c r="G38" s="42"/>
      <c r="H38" s="43"/>
      <c r="I38" s="41"/>
      <c r="J38" s="24"/>
      <c r="K38" s="24"/>
    </row>
    <row r="39" customFormat="false" ht="18" hidden="false" customHeight="true" outlineLevel="0" collapsed="false">
      <c r="A39" s="2"/>
      <c r="B39" s="41" t="n">
        <v>34</v>
      </c>
      <c r="C39" s="42"/>
      <c r="D39" s="42"/>
      <c r="E39" s="42"/>
      <c r="F39" s="42"/>
      <c r="G39" s="42"/>
      <c r="H39" s="43"/>
      <c r="I39" s="41"/>
      <c r="J39" s="24"/>
      <c r="K39" s="24"/>
    </row>
    <row r="40" customFormat="false" ht="18" hidden="false" customHeight="true" outlineLevel="0" collapsed="false">
      <c r="A40" s="2"/>
      <c r="B40" s="41" t="n">
        <v>35</v>
      </c>
      <c r="C40" s="42"/>
      <c r="D40" s="42"/>
      <c r="E40" s="42"/>
      <c r="F40" s="42"/>
      <c r="G40" s="42"/>
      <c r="H40" s="43"/>
      <c r="I40" s="41"/>
      <c r="J40" s="24"/>
      <c r="K40" s="24"/>
    </row>
    <row r="41" customFormat="false" ht="18" hidden="false" customHeight="true" outlineLevel="0" collapsed="false">
      <c r="A41" s="2"/>
      <c r="B41" s="41" t="n">
        <v>36</v>
      </c>
      <c r="C41" s="42"/>
      <c r="D41" s="42"/>
      <c r="E41" s="42"/>
      <c r="F41" s="42"/>
      <c r="G41" s="42"/>
      <c r="H41" s="43"/>
      <c r="I41" s="41"/>
      <c r="J41" s="24"/>
      <c r="K41" s="24"/>
    </row>
    <row r="42" customFormat="false" ht="18" hidden="false" customHeight="true" outlineLevel="0" collapsed="false">
      <c r="A42" s="2"/>
      <c r="B42" s="41" t="n">
        <v>37</v>
      </c>
      <c r="C42" s="42"/>
      <c r="D42" s="42"/>
      <c r="E42" s="42"/>
      <c r="F42" s="42"/>
      <c r="G42" s="42"/>
      <c r="H42" s="43"/>
      <c r="I42" s="41"/>
      <c r="J42" s="24"/>
      <c r="K42" s="24"/>
    </row>
    <row r="43" customFormat="false" ht="18" hidden="false" customHeight="true" outlineLevel="0" collapsed="false">
      <c r="A43" s="2"/>
      <c r="B43" s="41" t="n">
        <v>38</v>
      </c>
      <c r="C43" s="42"/>
      <c r="D43" s="42"/>
      <c r="E43" s="42"/>
      <c r="F43" s="42"/>
      <c r="G43" s="42"/>
      <c r="H43" s="43"/>
      <c r="I43" s="41"/>
      <c r="J43" s="24"/>
      <c r="K43" s="24"/>
    </row>
    <row r="44" customFormat="false" ht="18" hidden="false" customHeight="true" outlineLevel="0" collapsed="false">
      <c r="A44" s="2"/>
      <c r="B44" s="41" t="n">
        <v>39</v>
      </c>
      <c r="C44" s="42"/>
      <c r="D44" s="42"/>
      <c r="E44" s="42"/>
      <c r="F44" s="42"/>
      <c r="G44" s="42"/>
      <c r="H44" s="43"/>
      <c r="I44" s="41"/>
      <c r="J44" s="24"/>
      <c r="K44" s="24"/>
    </row>
    <row r="45" customFormat="false" ht="18" hidden="false" customHeight="true" outlineLevel="0" collapsed="false">
      <c r="A45" s="2"/>
      <c r="B45" s="41" t="n">
        <v>40</v>
      </c>
      <c r="C45" s="42"/>
      <c r="D45" s="42"/>
      <c r="E45" s="42"/>
      <c r="F45" s="42"/>
      <c r="G45" s="42"/>
      <c r="H45" s="43"/>
      <c r="I45" s="41"/>
      <c r="J45" s="24"/>
      <c r="K45" s="24"/>
    </row>
    <row r="46" customFormat="false" ht="18" hidden="false" customHeight="true" outlineLevel="0" collapsed="false">
      <c r="A46" s="2"/>
      <c r="B46" s="41" t="n">
        <v>41</v>
      </c>
      <c r="C46" s="42"/>
      <c r="D46" s="42"/>
      <c r="E46" s="42"/>
      <c r="F46" s="42"/>
      <c r="G46" s="42"/>
      <c r="H46" s="43"/>
      <c r="I46" s="41"/>
      <c r="J46" s="24"/>
      <c r="K46" s="24"/>
    </row>
    <row r="47" customFormat="false" ht="18" hidden="false" customHeight="true" outlineLevel="0" collapsed="false">
      <c r="A47" s="2"/>
      <c r="B47" s="41" t="n">
        <v>42</v>
      </c>
      <c r="C47" s="42"/>
      <c r="D47" s="42"/>
      <c r="E47" s="42"/>
      <c r="F47" s="42"/>
      <c r="G47" s="42"/>
      <c r="H47" s="43"/>
      <c r="I47" s="41"/>
      <c r="J47" s="24"/>
      <c r="K47" s="24"/>
    </row>
    <row r="48" customFormat="false" ht="18" hidden="false" customHeight="true" outlineLevel="0" collapsed="false">
      <c r="A48" s="2"/>
      <c r="B48" s="41" t="n">
        <v>43</v>
      </c>
      <c r="C48" s="42"/>
      <c r="D48" s="42"/>
      <c r="E48" s="42"/>
      <c r="F48" s="42"/>
      <c r="G48" s="42"/>
      <c r="H48" s="43"/>
      <c r="I48" s="41"/>
      <c r="J48" s="24"/>
      <c r="K48" s="24"/>
    </row>
    <row r="49" customFormat="false" ht="18" hidden="false" customHeight="true" outlineLevel="0" collapsed="false">
      <c r="A49" s="2"/>
      <c r="B49" s="41" t="n">
        <v>44</v>
      </c>
      <c r="C49" s="42"/>
      <c r="D49" s="42"/>
      <c r="E49" s="42"/>
      <c r="F49" s="42"/>
      <c r="G49" s="42"/>
      <c r="H49" s="43"/>
      <c r="I49" s="41"/>
      <c r="J49" s="24"/>
      <c r="K49" s="24"/>
    </row>
    <row r="50" customFormat="false" ht="18" hidden="false" customHeight="true" outlineLevel="0" collapsed="false">
      <c r="A50" s="2"/>
      <c r="B50" s="41" t="n">
        <v>45</v>
      </c>
      <c r="C50" s="42"/>
      <c r="D50" s="42"/>
      <c r="E50" s="42"/>
      <c r="F50" s="42"/>
      <c r="G50" s="42"/>
      <c r="H50" s="43"/>
      <c r="I50" s="41"/>
      <c r="J50" s="24"/>
      <c r="K50" s="24"/>
    </row>
    <row r="51" customFormat="false" ht="18" hidden="false" customHeight="true" outlineLevel="0" collapsed="false">
      <c r="A51" s="2"/>
      <c r="B51" s="41" t="n">
        <v>46</v>
      </c>
      <c r="C51" s="42"/>
      <c r="D51" s="42"/>
      <c r="E51" s="42"/>
      <c r="F51" s="42"/>
      <c r="G51" s="42"/>
      <c r="H51" s="43"/>
      <c r="I51" s="41"/>
      <c r="J51" s="24"/>
      <c r="K51" s="24"/>
    </row>
    <row r="52" customFormat="false" ht="18" hidden="false" customHeight="true" outlineLevel="0" collapsed="false">
      <c r="A52" s="2"/>
      <c r="B52" s="41" t="n">
        <v>47</v>
      </c>
      <c r="C52" s="42"/>
      <c r="D52" s="42"/>
      <c r="E52" s="42"/>
      <c r="F52" s="42"/>
      <c r="G52" s="42"/>
      <c r="H52" s="43"/>
      <c r="I52" s="41"/>
      <c r="J52" s="24"/>
      <c r="K52" s="24"/>
    </row>
    <row r="53" customFormat="false" ht="18" hidden="false" customHeight="true" outlineLevel="0" collapsed="false">
      <c r="A53" s="2"/>
      <c r="B53" s="41" t="n">
        <v>48</v>
      </c>
      <c r="C53" s="42"/>
      <c r="D53" s="42"/>
      <c r="E53" s="42"/>
      <c r="F53" s="42"/>
      <c r="G53" s="42"/>
      <c r="H53" s="43"/>
      <c r="I53" s="41"/>
      <c r="J53" s="24"/>
      <c r="K53" s="24"/>
    </row>
    <row r="54" customFormat="false" ht="18" hidden="false" customHeight="true" outlineLevel="0" collapsed="false">
      <c r="A54" s="2"/>
      <c r="B54" s="41" t="n">
        <v>49</v>
      </c>
      <c r="C54" s="42"/>
      <c r="D54" s="42"/>
      <c r="E54" s="42"/>
      <c r="F54" s="42"/>
      <c r="G54" s="42"/>
      <c r="H54" s="43"/>
      <c r="I54" s="41"/>
      <c r="J54" s="24"/>
      <c r="K54" s="24"/>
    </row>
    <row r="55" customFormat="false" ht="18" hidden="false" customHeight="true" outlineLevel="0" collapsed="false">
      <c r="A55" s="2"/>
      <c r="B55" s="41" t="n">
        <v>50</v>
      </c>
      <c r="C55" s="42"/>
      <c r="D55" s="42"/>
      <c r="E55" s="42"/>
      <c r="F55" s="42"/>
      <c r="G55" s="42"/>
      <c r="H55" s="43"/>
      <c r="I55" s="41"/>
      <c r="J55" s="24"/>
      <c r="K55" s="24"/>
    </row>
  </sheetData>
  <autoFilter ref="B5:K55"/>
  <mergeCells count="2">
    <mergeCell ref="B2:K2"/>
    <mergeCell ref="B3:K3"/>
  </mergeCells>
  <dataValidations count="1">
    <dataValidation allowBlank="true" errorStyle="stop" operator="between" showDropDown="false" showErrorMessage="false" showInputMessage="false" sqref="I6:I55" type="list">
      <formula1>"New,In Progress,Resolved,Closed"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5"/>
    <col collapsed="false" customWidth="true" hidden="false" outlineLevel="0" max="7" min="6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30" hidden="false" customHeight="true" outlineLevel="0" collapsed="false">
      <c r="A2" s="2"/>
      <c r="B2" s="294" t="s">
        <v>4642</v>
      </c>
      <c r="C2" s="294"/>
      <c r="D2" s="294"/>
      <c r="E2" s="294"/>
      <c r="F2" s="294"/>
      <c r="G2" s="294"/>
      <c r="H2" s="294"/>
    </row>
    <row r="3" customFormat="false" ht="75" hidden="false" customHeight="true" outlineLevel="0" collapsed="false">
      <c r="A3" s="2"/>
      <c r="B3" s="4" t="s">
        <v>4643</v>
      </c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30" hidden="false" customHeight="true" outlineLevel="0" collapsed="false">
      <c r="A5" s="2"/>
      <c r="B5" s="295" t="s">
        <v>40</v>
      </c>
      <c r="C5" s="295" t="s">
        <v>4644</v>
      </c>
      <c r="D5" s="295" t="s">
        <v>4645</v>
      </c>
      <c r="E5" s="295" t="s">
        <v>4646</v>
      </c>
      <c r="F5" s="295" t="s">
        <v>4647</v>
      </c>
      <c r="G5" s="295" t="s">
        <v>5969</v>
      </c>
      <c r="H5" s="2"/>
    </row>
    <row r="6" customFormat="false" ht="18" hidden="false" customHeight="true" outlineLevel="0" collapsed="false">
      <c r="A6" s="2"/>
      <c r="B6" s="268" t="s">
        <v>1036</v>
      </c>
      <c r="C6" s="296"/>
      <c r="D6" s="41" t="s">
        <v>4649</v>
      </c>
      <c r="E6" s="297" t="s">
        <v>4646</v>
      </c>
      <c r="F6" s="298" t="n">
        <f aca="false">C6/25.4</f>
        <v>0</v>
      </c>
      <c r="G6" s="41" t="s">
        <v>4652</v>
      </c>
      <c r="H6" s="2"/>
    </row>
    <row r="7" customFormat="false" ht="18" hidden="false" customHeight="true" outlineLevel="0" collapsed="false">
      <c r="A7" s="2"/>
      <c r="B7" s="268" t="s">
        <v>1036</v>
      </c>
      <c r="C7" s="296"/>
      <c r="D7" s="41" t="s">
        <v>4652</v>
      </c>
      <c r="E7" s="297" t="s">
        <v>4646</v>
      </c>
      <c r="F7" s="298" t="n">
        <f aca="false">C7*25.4</f>
        <v>0</v>
      </c>
      <c r="G7" s="41" t="s">
        <v>4649</v>
      </c>
      <c r="H7" s="2"/>
    </row>
    <row r="8" customFormat="false" ht="18" hidden="false" customHeight="true" outlineLevel="0" collapsed="false">
      <c r="A8" s="2"/>
      <c r="B8" s="268" t="s">
        <v>1036</v>
      </c>
      <c r="C8" s="296"/>
      <c r="D8" s="41" t="s">
        <v>4654</v>
      </c>
      <c r="E8" s="297" t="s">
        <v>4646</v>
      </c>
      <c r="F8" s="298" t="n">
        <f aca="false">C8*3.28084</f>
        <v>0</v>
      </c>
      <c r="G8" s="41" t="s">
        <v>4656</v>
      </c>
      <c r="H8" s="2"/>
    </row>
    <row r="9" customFormat="false" ht="18" hidden="false" customHeight="true" outlineLevel="0" collapsed="false">
      <c r="A9" s="2"/>
      <c r="B9" s="268" t="s">
        <v>1036</v>
      </c>
      <c r="C9" s="296"/>
      <c r="D9" s="41" t="s">
        <v>4656</v>
      </c>
      <c r="E9" s="297" t="s">
        <v>4646</v>
      </c>
      <c r="F9" s="298" t="n">
        <f aca="false">C9*0.3048</f>
        <v>0</v>
      </c>
      <c r="G9" s="41" t="s">
        <v>4654</v>
      </c>
      <c r="H9" s="2"/>
    </row>
    <row r="10" customFormat="false" ht="18" hidden="false" customHeight="true" outlineLevel="0" collapsed="false">
      <c r="A10" s="2"/>
      <c r="B10" s="268" t="s">
        <v>4658</v>
      </c>
      <c r="C10" s="296"/>
      <c r="D10" s="41" t="s">
        <v>4286</v>
      </c>
      <c r="E10" s="297" t="s">
        <v>4646</v>
      </c>
      <c r="F10" s="298" t="n">
        <f aca="false">C10*0.671969</f>
        <v>0</v>
      </c>
      <c r="G10" s="41" t="s">
        <v>4660</v>
      </c>
      <c r="H10" s="2"/>
    </row>
    <row r="11" customFormat="false" ht="18" hidden="false" customHeight="true" outlineLevel="0" collapsed="false">
      <c r="A11" s="2"/>
      <c r="B11" s="268" t="s">
        <v>4658</v>
      </c>
      <c r="C11" s="296"/>
      <c r="D11" s="41" t="s">
        <v>4660</v>
      </c>
      <c r="E11" s="297" t="s">
        <v>4646</v>
      </c>
      <c r="F11" s="298" t="n">
        <f aca="false">C11*1.48816</f>
        <v>0</v>
      </c>
      <c r="G11" s="41" t="s">
        <v>4286</v>
      </c>
      <c r="H11" s="2"/>
    </row>
    <row r="12" customFormat="false" ht="18" hidden="false" customHeight="true" outlineLevel="0" collapsed="false">
      <c r="A12" s="2"/>
      <c r="B12" s="268" t="s">
        <v>4662</v>
      </c>
      <c r="C12" s="296"/>
      <c r="D12" s="41" t="s">
        <v>4663</v>
      </c>
      <c r="E12" s="297" t="s">
        <v>4646</v>
      </c>
      <c r="F12" s="298" t="n">
        <f aca="false">C12*2.20462</f>
        <v>0</v>
      </c>
      <c r="G12" s="41" t="s">
        <v>5970</v>
      </c>
      <c r="H12" s="2"/>
    </row>
    <row r="13" customFormat="false" ht="18" hidden="false" customHeight="true" outlineLevel="0" collapsed="false">
      <c r="A13" s="2"/>
      <c r="B13" s="268" t="s">
        <v>4662</v>
      </c>
      <c r="C13" s="296"/>
      <c r="D13" s="41" t="s">
        <v>4665</v>
      </c>
      <c r="E13" s="297" t="s">
        <v>4646</v>
      </c>
      <c r="F13" s="298" t="n">
        <f aca="false">C13*1000</f>
        <v>0</v>
      </c>
      <c r="G13" s="41" t="s">
        <v>4663</v>
      </c>
      <c r="H13" s="2"/>
    </row>
    <row r="14" customFormat="false" ht="18" hidden="false" customHeight="true" outlineLevel="0" collapsed="false">
      <c r="A14" s="2"/>
      <c r="B14" s="268" t="s">
        <v>4667</v>
      </c>
      <c r="C14" s="296"/>
      <c r="D14" s="41" t="s">
        <v>4668</v>
      </c>
      <c r="E14" s="297" t="s">
        <v>4646</v>
      </c>
      <c r="F14" s="298" t="n">
        <f aca="false">C14*0.145038</f>
        <v>0</v>
      </c>
      <c r="G14" s="41" t="s">
        <v>4670</v>
      </c>
      <c r="H14" s="2"/>
    </row>
    <row r="15" customFormat="false" ht="18" hidden="false" customHeight="true" outlineLevel="0" collapsed="false">
      <c r="A15" s="2"/>
      <c r="B15" s="268" t="s">
        <v>4667</v>
      </c>
      <c r="C15" s="296"/>
      <c r="D15" s="41" t="s">
        <v>4670</v>
      </c>
      <c r="E15" s="297" t="s">
        <v>4646</v>
      </c>
      <c r="F15" s="298" t="n">
        <f aca="false">C15*6.89476</f>
        <v>0</v>
      </c>
      <c r="G15" s="41" t="s">
        <v>4668</v>
      </c>
      <c r="H15" s="2"/>
    </row>
    <row r="16" customFormat="false" ht="18" hidden="false" customHeight="true" outlineLevel="0" collapsed="false">
      <c r="A16" s="2"/>
      <c r="B16" s="268" t="s">
        <v>4667</v>
      </c>
      <c r="C16" s="296"/>
      <c r="D16" s="41" t="s">
        <v>4668</v>
      </c>
      <c r="E16" s="297" t="s">
        <v>4646</v>
      </c>
      <c r="F16" s="298" t="n">
        <f aca="false">C16*145.038</f>
        <v>0</v>
      </c>
      <c r="G16" s="41" t="s">
        <v>5971</v>
      </c>
      <c r="H16" s="2"/>
    </row>
    <row r="17" customFormat="false" ht="18" hidden="false" customHeight="true" outlineLevel="0" collapsed="false">
      <c r="A17" s="2"/>
      <c r="B17" s="268" t="s">
        <v>4672</v>
      </c>
      <c r="C17" s="296"/>
      <c r="D17" s="41" t="s">
        <v>4673</v>
      </c>
      <c r="E17" s="297" t="s">
        <v>4646</v>
      </c>
      <c r="F17" s="298" t="n">
        <f aca="false">C17*224.809</f>
        <v>0</v>
      </c>
      <c r="G17" s="41" t="s">
        <v>4675</v>
      </c>
      <c r="H17" s="2"/>
    </row>
    <row r="18" customFormat="false" ht="18" hidden="false" customHeight="true" outlineLevel="0" collapsed="false">
      <c r="A18" s="2"/>
      <c r="B18" s="268" t="s">
        <v>4672</v>
      </c>
      <c r="C18" s="296"/>
      <c r="D18" s="41" t="s">
        <v>4675</v>
      </c>
      <c r="E18" s="297" t="s">
        <v>4646</v>
      </c>
      <c r="F18" s="298" t="n">
        <f aca="false">C18*0.00444822</f>
        <v>0</v>
      </c>
      <c r="G18" s="41" t="s">
        <v>4673</v>
      </c>
      <c r="H18" s="2"/>
    </row>
    <row r="19" customFormat="false" ht="18" hidden="false" customHeight="true" outlineLevel="0" collapsed="false">
      <c r="A19" s="2"/>
      <c r="B19" s="268" t="s">
        <v>4677</v>
      </c>
      <c r="C19" s="296"/>
      <c r="D19" s="41" t="s">
        <v>4678</v>
      </c>
      <c r="E19" s="297" t="s">
        <v>4646</v>
      </c>
      <c r="F19" s="298" t="n">
        <f aca="false">C19*0.204816</f>
        <v>0</v>
      </c>
      <c r="G19" s="41" t="s">
        <v>5972</v>
      </c>
      <c r="H19" s="2"/>
    </row>
    <row r="20" customFormat="false" ht="18" hidden="false" customHeight="true" outlineLevel="0" collapsed="false">
      <c r="A20" s="2"/>
      <c r="B20" s="268" t="s">
        <v>4677</v>
      </c>
      <c r="C20" s="296"/>
      <c r="D20" s="41" t="s">
        <v>4680</v>
      </c>
      <c r="E20" s="297" t="s">
        <v>4646</v>
      </c>
      <c r="F20" s="298" t="n">
        <f aca="false">C20*4.88243</f>
        <v>0</v>
      </c>
      <c r="G20" s="41" t="s">
        <v>4678</v>
      </c>
      <c r="H20" s="2"/>
    </row>
    <row r="21" customFormat="false" ht="18" hidden="false" customHeight="true" outlineLevel="0" collapsed="false">
      <c r="A21" s="2"/>
      <c r="B21" s="268" t="s">
        <v>4682</v>
      </c>
      <c r="C21" s="296"/>
      <c r="D21" s="41" t="s">
        <v>4683</v>
      </c>
      <c r="E21" s="297" t="s">
        <v>4646</v>
      </c>
      <c r="F21" s="298" t="n">
        <f aca="false">C21*737.562</f>
        <v>0</v>
      </c>
      <c r="G21" s="41" t="s">
        <v>5973</v>
      </c>
      <c r="H21" s="2"/>
    </row>
    <row r="22" customFormat="false" ht="18" hidden="false" customHeight="true" outlineLevel="0" collapsed="false">
      <c r="A22" s="2"/>
      <c r="B22" s="268" t="s">
        <v>4685</v>
      </c>
      <c r="C22" s="296"/>
      <c r="D22" s="41" t="s">
        <v>4686</v>
      </c>
      <c r="E22" s="297" t="s">
        <v>4646</v>
      </c>
      <c r="F22" s="298" t="n">
        <f aca="false">C22*9/5+32</f>
        <v>32</v>
      </c>
      <c r="G22" s="41" t="s">
        <v>4688</v>
      </c>
      <c r="H22" s="2"/>
    </row>
    <row r="23" customFormat="false" ht="18" hidden="false" customHeight="true" outlineLevel="0" collapsed="false">
      <c r="A23" s="2"/>
      <c r="B23" s="268" t="s">
        <v>4685</v>
      </c>
      <c r="C23" s="296"/>
      <c r="D23" s="41" t="s">
        <v>4688</v>
      </c>
      <c r="E23" s="297" t="s">
        <v>4646</v>
      </c>
      <c r="F23" s="298" t="n">
        <f aca="false">(C23-32)*5/9</f>
        <v>-17.7777777777778</v>
      </c>
      <c r="G23" s="41" t="s">
        <v>4686</v>
      </c>
      <c r="H23" s="2"/>
    </row>
    <row r="24" customFormat="false" ht="18" hidden="false" customHeight="true" outlineLevel="0" collapsed="false">
      <c r="A24" s="2"/>
      <c r="B24" s="268" t="s">
        <v>4690</v>
      </c>
      <c r="C24" s="296"/>
      <c r="D24" s="41" t="s">
        <v>4691</v>
      </c>
      <c r="E24" s="297" t="s">
        <v>4646</v>
      </c>
      <c r="F24" s="298" t="n">
        <f aca="false">C24*0.00155</f>
        <v>0</v>
      </c>
      <c r="G24" s="41" t="s">
        <v>5974</v>
      </c>
      <c r="H24" s="2"/>
    </row>
    <row r="25" customFormat="false" ht="18" hidden="false" customHeight="true" outlineLevel="0" collapsed="false">
      <c r="A25" s="2"/>
      <c r="B25" s="268" t="s">
        <v>4693</v>
      </c>
      <c r="C25" s="296"/>
      <c r="D25" s="41" t="s">
        <v>4694</v>
      </c>
      <c r="E25" s="297" t="s">
        <v>4646</v>
      </c>
      <c r="F25" s="298" t="n">
        <f aca="false">C25*0.024025</f>
        <v>0</v>
      </c>
      <c r="G25" s="41" t="s">
        <v>5975</v>
      </c>
      <c r="H25" s="2"/>
    </row>
  </sheetData>
  <mergeCells count="2">
    <mergeCell ref="B2:H2"/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36"/>
    <col collapsed="false" customWidth="true" hidden="false" outlineLevel="0" max="4" min="4" style="1" width="16"/>
    <col collapsed="false" customWidth="true" hidden="false" outlineLevel="0" max="5" min="5" style="1" width="5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</row>
    <row r="2" customFormat="false" ht="60" hidden="false" customHeight="true" outlineLevel="0" collapsed="false">
      <c r="A2" s="2"/>
      <c r="B2" s="294" t="s">
        <v>4696</v>
      </c>
      <c r="C2" s="294"/>
      <c r="D2" s="294"/>
      <c r="E2" s="294"/>
      <c r="F2" s="294"/>
    </row>
    <row r="3" customFormat="false" ht="15" hidden="false" customHeight="true" outlineLevel="0" collapsed="false">
      <c r="A3" s="2"/>
      <c r="B3" s="2"/>
      <c r="C3" s="2"/>
      <c r="D3" s="2"/>
      <c r="E3" s="2"/>
      <c r="F3" s="2"/>
    </row>
    <row r="4" customFormat="false" ht="30" hidden="false" customHeight="true" outlineLevel="0" collapsed="false">
      <c r="A4" s="2"/>
      <c r="B4" s="295" t="s">
        <v>4697</v>
      </c>
      <c r="C4" s="295" t="s">
        <v>4698</v>
      </c>
      <c r="D4" s="295" t="s">
        <v>40</v>
      </c>
      <c r="E4" s="295" t="s">
        <v>913</v>
      </c>
      <c r="F4" s="2"/>
    </row>
    <row r="5" customFormat="false" ht="30" hidden="false" customHeight="true" outlineLevel="0" collapsed="false">
      <c r="A5" s="2"/>
      <c r="B5" s="293" t="s">
        <v>4700</v>
      </c>
      <c r="C5" s="268" t="s">
        <v>4701</v>
      </c>
      <c r="D5" s="41" t="s">
        <v>4702</v>
      </c>
      <c r="E5" s="24" t="s">
        <v>4703</v>
      </c>
      <c r="F5" s="2"/>
    </row>
    <row r="6" customFormat="false" ht="30" hidden="false" customHeight="true" outlineLevel="0" collapsed="false">
      <c r="A6" s="2"/>
      <c r="B6" s="293" t="s">
        <v>4705</v>
      </c>
      <c r="C6" s="268" t="s">
        <v>4706</v>
      </c>
      <c r="D6" s="41" t="s">
        <v>4702</v>
      </c>
      <c r="E6" s="24" t="s">
        <v>4707</v>
      </c>
      <c r="F6" s="2"/>
    </row>
    <row r="7" customFormat="false" ht="30" hidden="false" customHeight="true" outlineLevel="0" collapsed="false">
      <c r="A7" s="2"/>
      <c r="B7" s="293" t="s">
        <v>4709</v>
      </c>
      <c r="C7" s="268" t="s">
        <v>4710</v>
      </c>
      <c r="D7" s="41" t="s">
        <v>4702</v>
      </c>
      <c r="E7" s="24" t="s">
        <v>4711</v>
      </c>
      <c r="F7" s="2"/>
    </row>
    <row r="8" customFormat="false" ht="30" hidden="false" customHeight="true" outlineLevel="0" collapsed="false">
      <c r="A8" s="2"/>
      <c r="B8" s="293" t="s">
        <v>4713</v>
      </c>
      <c r="C8" s="268" t="s">
        <v>4714</v>
      </c>
      <c r="D8" s="41" t="s">
        <v>4715</v>
      </c>
      <c r="E8" s="24" t="s">
        <v>4716</v>
      </c>
      <c r="F8" s="2"/>
    </row>
    <row r="9" customFormat="false" ht="30" hidden="false" customHeight="true" outlineLevel="0" collapsed="false">
      <c r="A9" s="2"/>
      <c r="B9" s="293" t="s">
        <v>4718</v>
      </c>
      <c r="C9" s="268" t="s">
        <v>4719</v>
      </c>
      <c r="D9" s="41" t="s">
        <v>4715</v>
      </c>
      <c r="E9" s="24" t="s">
        <v>4720</v>
      </c>
      <c r="F9" s="2"/>
    </row>
    <row r="10" customFormat="false" ht="30" hidden="false" customHeight="true" outlineLevel="0" collapsed="false">
      <c r="A10" s="2"/>
      <c r="B10" s="293" t="s">
        <v>4722</v>
      </c>
      <c r="C10" s="268" t="s">
        <v>4723</v>
      </c>
      <c r="D10" s="41" t="s">
        <v>4715</v>
      </c>
      <c r="E10" s="24" t="s">
        <v>4724</v>
      </c>
      <c r="F10" s="2"/>
    </row>
    <row r="11" customFormat="false" ht="30" hidden="false" customHeight="true" outlineLevel="0" collapsed="false">
      <c r="A11" s="2"/>
      <c r="B11" s="293" t="s">
        <v>4726</v>
      </c>
      <c r="C11" s="268" t="s">
        <v>4727</v>
      </c>
      <c r="D11" s="41" t="s">
        <v>24</v>
      </c>
      <c r="E11" s="24" t="s">
        <v>4728</v>
      </c>
      <c r="F11" s="2"/>
    </row>
    <row r="12" customFormat="false" ht="30" hidden="false" customHeight="true" outlineLevel="0" collapsed="false">
      <c r="A12" s="2"/>
      <c r="B12" s="293" t="s">
        <v>4730</v>
      </c>
      <c r="C12" s="268" t="s">
        <v>4731</v>
      </c>
      <c r="D12" s="41" t="s">
        <v>4732</v>
      </c>
      <c r="E12" s="24" t="s">
        <v>4733</v>
      </c>
      <c r="F12" s="2"/>
    </row>
    <row r="13" customFormat="false" ht="30" hidden="false" customHeight="true" outlineLevel="0" collapsed="false">
      <c r="A13" s="2"/>
      <c r="B13" s="293" t="s">
        <v>4735</v>
      </c>
      <c r="C13" s="268" t="s">
        <v>4736</v>
      </c>
      <c r="D13" s="41" t="s">
        <v>4732</v>
      </c>
      <c r="E13" s="24" t="s">
        <v>4737</v>
      </c>
      <c r="F13" s="2"/>
    </row>
    <row r="14" customFormat="false" ht="30" hidden="false" customHeight="true" outlineLevel="0" collapsed="false">
      <c r="A14" s="2"/>
      <c r="B14" s="293" t="s">
        <v>4739</v>
      </c>
      <c r="C14" s="268" t="s">
        <v>4740</v>
      </c>
      <c r="D14" s="41" t="s">
        <v>4741</v>
      </c>
      <c r="E14" s="24" t="s">
        <v>4742</v>
      </c>
      <c r="F14" s="2"/>
    </row>
    <row r="15" customFormat="false" ht="30" hidden="false" customHeight="true" outlineLevel="0" collapsed="false">
      <c r="A15" s="2"/>
      <c r="B15" s="293" t="s">
        <v>4744</v>
      </c>
      <c r="C15" s="268" t="s">
        <v>4745</v>
      </c>
      <c r="D15" s="41" t="s">
        <v>4741</v>
      </c>
      <c r="E15" s="24" t="s">
        <v>4746</v>
      </c>
      <c r="F15" s="2"/>
    </row>
    <row r="16" customFormat="false" ht="30" hidden="false" customHeight="true" outlineLevel="0" collapsed="false">
      <c r="A16" s="2"/>
      <c r="B16" s="293" t="s">
        <v>4748</v>
      </c>
      <c r="C16" s="268" t="s">
        <v>4749</v>
      </c>
      <c r="D16" s="41" t="s">
        <v>4741</v>
      </c>
      <c r="E16" s="24" t="s">
        <v>4750</v>
      </c>
      <c r="F16" s="2"/>
    </row>
    <row r="17" customFormat="false" ht="30" hidden="false" customHeight="true" outlineLevel="0" collapsed="false">
      <c r="A17" s="2"/>
      <c r="B17" s="293" t="s">
        <v>4668</v>
      </c>
      <c r="C17" s="268" t="s">
        <v>4752</v>
      </c>
      <c r="D17" s="41" t="s">
        <v>4753</v>
      </c>
      <c r="E17" s="24" t="s">
        <v>4754</v>
      </c>
      <c r="F17" s="2"/>
    </row>
    <row r="18" customFormat="false" ht="30" hidden="false" customHeight="true" outlineLevel="0" collapsed="false">
      <c r="A18" s="2"/>
      <c r="B18" s="293" t="s">
        <v>4673</v>
      </c>
      <c r="C18" s="268" t="s">
        <v>4756</v>
      </c>
      <c r="D18" s="41" t="s">
        <v>4753</v>
      </c>
      <c r="E18" s="24" t="s">
        <v>4757</v>
      </c>
      <c r="F18" s="2"/>
    </row>
    <row r="19" customFormat="false" ht="30" hidden="false" customHeight="true" outlineLevel="0" collapsed="false">
      <c r="A19" s="2"/>
      <c r="B19" s="293" t="s">
        <v>4759</v>
      </c>
      <c r="C19" s="268" t="s">
        <v>4760</v>
      </c>
      <c r="D19" s="41" t="s">
        <v>4753</v>
      </c>
      <c r="E19" s="24" t="s">
        <v>4761</v>
      </c>
      <c r="F19" s="2"/>
    </row>
    <row r="20" customFormat="false" ht="30" hidden="false" customHeight="true" outlineLevel="0" collapsed="false">
      <c r="A20" s="2"/>
      <c r="B20" s="293" t="s">
        <v>4763</v>
      </c>
      <c r="C20" s="268" t="s">
        <v>4764</v>
      </c>
      <c r="D20" s="41" t="s">
        <v>4523</v>
      </c>
      <c r="E20" s="24" t="s">
        <v>4765</v>
      </c>
      <c r="F20" s="2"/>
    </row>
    <row r="21" customFormat="false" ht="30" hidden="false" customHeight="true" outlineLevel="0" collapsed="false">
      <c r="A21" s="2"/>
      <c r="B21" s="293" t="s">
        <v>4767</v>
      </c>
      <c r="C21" s="268" t="s">
        <v>4768</v>
      </c>
      <c r="D21" s="41" t="s">
        <v>4523</v>
      </c>
      <c r="E21" s="24" t="s">
        <v>4765</v>
      </c>
      <c r="F21" s="2"/>
    </row>
    <row r="22" customFormat="false" ht="30" hidden="false" customHeight="true" outlineLevel="0" collapsed="false">
      <c r="A22" s="2"/>
      <c r="B22" s="293" t="s">
        <v>4770</v>
      </c>
      <c r="C22" s="268" t="s">
        <v>4771</v>
      </c>
      <c r="D22" s="41" t="s">
        <v>537</v>
      </c>
      <c r="E22" s="24" t="s">
        <v>4772</v>
      </c>
      <c r="F22" s="2"/>
    </row>
    <row r="23" customFormat="false" ht="30" hidden="false" customHeight="true" outlineLevel="0" collapsed="false">
      <c r="A23" s="2"/>
      <c r="B23" s="293" t="s">
        <v>4774</v>
      </c>
      <c r="C23" s="268" t="s">
        <v>4775</v>
      </c>
      <c r="D23" s="41" t="s">
        <v>537</v>
      </c>
      <c r="E23" s="24" t="s">
        <v>4776</v>
      </c>
      <c r="F23" s="2"/>
    </row>
    <row r="24" customFormat="false" ht="30" hidden="false" customHeight="true" outlineLevel="0" collapsed="false">
      <c r="A24" s="2"/>
      <c r="B24" s="293" t="s">
        <v>4778</v>
      </c>
      <c r="C24" s="268" t="s">
        <v>4779</v>
      </c>
      <c r="D24" s="41" t="s">
        <v>537</v>
      </c>
      <c r="E24" s="24" t="s">
        <v>4780</v>
      </c>
      <c r="F24" s="2"/>
    </row>
    <row r="25" customFormat="false" ht="30" hidden="false" customHeight="true" outlineLevel="0" collapsed="false">
      <c r="A25" s="2"/>
      <c r="B25" s="293" t="s">
        <v>4782</v>
      </c>
      <c r="C25" s="268" t="s">
        <v>4783</v>
      </c>
      <c r="D25" s="41" t="s">
        <v>537</v>
      </c>
      <c r="E25" s="24" t="s">
        <v>4784</v>
      </c>
      <c r="F25" s="2"/>
    </row>
    <row r="26" customFormat="false" ht="30" hidden="false" customHeight="true" outlineLevel="0" collapsed="false">
      <c r="A26" s="2"/>
      <c r="B26" s="293" t="s">
        <v>4786</v>
      </c>
      <c r="C26" s="268" t="s">
        <v>4787</v>
      </c>
      <c r="D26" s="41" t="s">
        <v>4788</v>
      </c>
      <c r="E26" s="24" t="s">
        <v>4789</v>
      </c>
      <c r="F26" s="2"/>
    </row>
    <row r="27" customFormat="false" ht="30" hidden="false" customHeight="true" outlineLevel="0" collapsed="false">
      <c r="A27" s="2"/>
      <c r="B27" s="293" t="s">
        <v>4791</v>
      </c>
      <c r="C27" s="268" t="s">
        <v>4792</v>
      </c>
      <c r="D27" s="41" t="s">
        <v>4788</v>
      </c>
      <c r="E27" s="24" t="s">
        <v>4793</v>
      </c>
      <c r="F27" s="2"/>
    </row>
    <row r="28" customFormat="false" ht="30" hidden="false" customHeight="true" outlineLevel="0" collapsed="false">
      <c r="A28" s="2"/>
      <c r="B28" s="293" t="s">
        <v>4795</v>
      </c>
      <c r="C28" s="268" t="s">
        <v>4796</v>
      </c>
      <c r="D28" s="41" t="s">
        <v>4797</v>
      </c>
      <c r="E28" s="24" t="s">
        <v>4798</v>
      </c>
      <c r="F28" s="2"/>
    </row>
    <row r="29" customFormat="false" ht="30" hidden="false" customHeight="true" outlineLevel="0" collapsed="false">
      <c r="A29" s="2"/>
      <c r="B29" s="293" t="s">
        <v>4800</v>
      </c>
      <c r="C29" s="268" t="s">
        <v>4801</v>
      </c>
      <c r="D29" s="41" t="s">
        <v>4802</v>
      </c>
      <c r="E29" s="24" t="s">
        <v>4803</v>
      </c>
      <c r="F29" s="2"/>
    </row>
    <row r="30" customFormat="false" ht="30" hidden="false" customHeight="true" outlineLevel="0" collapsed="false">
      <c r="A30" s="2"/>
      <c r="B30" s="293" t="s">
        <v>4805</v>
      </c>
      <c r="C30" s="268" t="s">
        <v>4806</v>
      </c>
      <c r="D30" s="41" t="s">
        <v>4807</v>
      </c>
      <c r="E30" s="24" t="s">
        <v>4808</v>
      </c>
      <c r="F30" s="2"/>
    </row>
    <row r="31" customFormat="false" ht="30" hidden="false" customHeight="true" outlineLevel="0" collapsed="false">
      <c r="A31" s="2"/>
      <c r="B31" s="293" t="s">
        <v>4810</v>
      </c>
      <c r="C31" s="268" t="s">
        <v>4811</v>
      </c>
      <c r="D31" s="41" t="s">
        <v>4807</v>
      </c>
      <c r="E31" s="24" t="s">
        <v>4812</v>
      </c>
      <c r="F31" s="2"/>
    </row>
    <row r="32" customFormat="false" ht="30" hidden="false" customHeight="true" outlineLevel="0" collapsed="false">
      <c r="A32" s="2"/>
      <c r="B32" s="293" t="s">
        <v>4814</v>
      </c>
      <c r="C32" s="268" t="s">
        <v>4815</v>
      </c>
      <c r="D32" s="41" t="s">
        <v>4807</v>
      </c>
      <c r="E32" s="24" t="s">
        <v>4816</v>
      </c>
      <c r="F32" s="2"/>
    </row>
    <row r="33" customFormat="false" ht="30" hidden="false" customHeight="true" outlineLevel="0" collapsed="false">
      <c r="A33" s="2"/>
      <c r="B33" s="293" t="s">
        <v>4818</v>
      </c>
      <c r="C33" s="268" t="s">
        <v>4819</v>
      </c>
      <c r="D33" s="41" t="s">
        <v>4820</v>
      </c>
      <c r="E33" s="24" t="s">
        <v>4821</v>
      </c>
      <c r="F33" s="2"/>
    </row>
    <row r="34" customFormat="false" ht="30" hidden="false" customHeight="true" outlineLevel="0" collapsed="false">
      <c r="A34" s="2"/>
      <c r="B34" s="293" t="s">
        <v>4823</v>
      </c>
      <c r="C34" s="268" t="s">
        <v>4824</v>
      </c>
      <c r="D34" s="41" t="s">
        <v>4820</v>
      </c>
      <c r="E34" s="24" t="s">
        <v>4825</v>
      </c>
      <c r="F34" s="2"/>
    </row>
    <row r="35" customFormat="false" ht="30" hidden="false" customHeight="true" outlineLevel="0" collapsed="false">
      <c r="A35" s="2"/>
      <c r="B35" s="293" t="s">
        <v>4827</v>
      </c>
      <c r="C35" s="268" t="s">
        <v>4828</v>
      </c>
      <c r="D35" s="41" t="s">
        <v>4820</v>
      </c>
      <c r="E35" s="24" t="s">
        <v>4829</v>
      </c>
      <c r="F35" s="2"/>
    </row>
    <row r="36" customFormat="false" ht="30" hidden="false" customHeight="true" outlineLevel="0" collapsed="false">
      <c r="A36" s="2"/>
      <c r="B36" s="293" t="s">
        <v>4831</v>
      </c>
      <c r="C36" s="268" t="s">
        <v>4832</v>
      </c>
      <c r="D36" s="41" t="s">
        <v>4833</v>
      </c>
      <c r="E36" s="24" t="s">
        <v>4834</v>
      </c>
      <c r="F36" s="2"/>
    </row>
    <row r="37" customFormat="false" ht="30" hidden="false" customHeight="true" outlineLevel="0" collapsed="false">
      <c r="A37" s="2"/>
      <c r="B37" s="293" t="s">
        <v>4836</v>
      </c>
      <c r="C37" s="268" t="s">
        <v>4837</v>
      </c>
      <c r="D37" s="41" t="s">
        <v>4833</v>
      </c>
      <c r="E37" s="24" t="s">
        <v>4838</v>
      </c>
      <c r="F37" s="2"/>
    </row>
    <row r="38" customFormat="false" ht="30" hidden="false" customHeight="true" outlineLevel="0" collapsed="false">
      <c r="A38" s="2"/>
      <c r="B38" s="293" t="s">
        <v>4840</v>
      </c>
      <c r="C38" s="268" t="s">
        <v>4841</v>
      </c>
      <c r="D38" s="41" t="s">
        <v>4833</v>
      </c>
      <c r="E38" s="24" t="s">
        <v>4842</v>
      </c>
      <c r="F38" s="2"/>
    </row>
    <row r="39" customFormat="false" ht="30" hidden="false" customHeight="true" outlineLevel="0" collapsed="false">
      <c r="A39" s="2"/>
      <c r="B39" s="293" t="s">
        <v>4844</v>
      </c>
      <c r="C39" s="268" t="s">
        <v>4845</v>
      </c>
      <c r="D39" s="41" t="s">
        <v>4802</v>
      </c>
      <c r="E39" s="24" t="s">
        <v>4846</v>
      </c>
      <c r="F39" s="2"/>
    </row>
    <row r="40" customFormat="false" ht="30" hidden="false" customHeight="true" outlineLevel="0" collapsed="false">
      <c r="A40" s="2"/>
      <c r="B40" s="293" t="s">
        <v>4848</v>
      </c>
      <c r="C40" s="268" t="s">
        <v>4849</v>
      </c>
      <c r="D40" s="41" t="s">
        <v>4802</v>
      </c>
      <c r="E40" s="24" t="s">
        <v>4850</v>
      </c>
      <c r="F40" s="2"/>
    </row>
  </sheetData>
  <autoFilter ref="B4:E40"/>
  <mergeCells count="1"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K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8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5" min="5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0" hidden="false" customHeight="true" outlineLevel="0" collapsed="false">
      <c r="A2" s="2"/>
      <c r="B2" s="299" t="s">
        <v>4852</v>
      </c>
      <c r="C2" s="299"/>
      <c r="D2" s="299"/>
      <c r="E2" s="299"/>
      <c r="F2" s="299"/>
      <c r="G2" s="299"/>
      <c r="H2" s="299"/>
      <c r="I2" s="299"/>
      <c r="J2" s="299"/>
      <c r="K2" s="299"/>
    </row>
    <row r="3" customFormat="false" ht="30" hidden="false" customHeight="true" outlineLevel="0" collapsed="false">
      <c r="A3" s="2"/>
      <c r="B3" s="4" t="s">
        <v>4853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30" hidden="false" customHeight="true" outlineLevel="0" collapsed="false">
      <c r="A5" s="2"/>
      <c r="B5" s="300" t="s">
        <v>4854</v>
      </c>
      <c r="C5" s="2"/>
      <c r="D5" s="2"/>
      <c r="E5" s="2"/>
      <c r="F5" s="2"/>
      <c r="G5" s="2"/>
      <c r="H5" s="2"/>
      <c r="I5" s="2"/>
      <c r="J5" s="2"/>
      <c r="K5" s="2"/>
    </row>
    <row r="6" customFormat="false" ht="30" hidden="false" customHeight="true" outlineLevel="0" collapsed="false">
      <c r="A6" s="2"/>
      <c r="B6" s="49" t="s">
        <v>4855</v>
      </c>
      <c r="C6" s="301" t="s">
        <v>4856</v>
      </c>
      <c r="D6" s="301" t="s">
        <v>4857</v>
      </c>
      <c r="E6" s="301" t="s">
        <v>4753</v>
      </c>
      <c r="F6" s="2"/>
      <c r="G6" s="2"/>
      <c r="H6" s="2"/>
      <c r="I6" s="2"/>
      <c r="J6" s="2"/>
      <c r="K6" s="2"/>
    </row>
    <row r="7" customFormat="false" ht="18" hidden="false" customHeight="true" outlineLevel="0" collapsed="false">
      <c r="A7" s="2"/>
      <c r="B7" s="268" t="s">
        <v>4859</v>
      </c>
      <c r="C7" s="41" t="s">
        <v>4860</v>
      </c>
      <c r="D7" s="272" t="n">
        <v>6</v>
      </c>
      <c r="E7" s="41" t="s">
        <v>4654</v>
      </c>
      <c r="F7" s="2"/>
      <c r="G7" s="2"/>
      <c r="H7" s="2"/>
      <c r="I7" s="2"/>
      <c r="J7" s="2"/>
      <c r="K7" s="2"/>
    </row>
    <row r="8" customFormat="false" ht="18" hidden="false" customHeight="true" outlineLevel="0" collapsed="false">
      <c r="A8" s="2"/>
      <c r="B8" s="268" t="s">
        <v>4862</v>
      </c>
      <c r="C8" s="41" t="s">
        <v>4863</v>
      </c>
      <c r="D8" s="272" t="n">
        <v>3</v>
      </c>
      <c r="E8" s="41" t="s">
        <v>4654</v>
      </c>
      <c r="F8" s="2"/>
      <c r="G8" s="2"/>
      <c r="H8" s="2"/>
      <c r="I8" s="2"/>
      <c r="J8" s="2"/>
      <c r="K8" s="2"/>
    </row>
    <row r="9" customFormat="false" ht="18" hidden="false" customHeight="true" outlineLevel="0" collapsed="false">
      <c r="A9" s="2"/>
      <c r="B9" s="268" t="s">
        <v>4865</v>
      </c>
      <c r="C9" s="41" t="s">
        <v>4866</v>
      </c>
      <c r="D9" s="302" t="n">
        <f aca="false">D7*D8</f>
        <v>18</v>
      </c>
      <c r="E9" s="41" t="s">
        <v>4867</v>
      </c>
      <c r="F9" s="2"/>
      <c r="G9" s="2"/>
      <c r="H9" s="2"/>
      <c r="I9" s="2"/>
      <c r="J9" s="2"/>
      <c r="K9" s="2"/>
    </row>
    <row r="10" customFormat="false" ht="18" hidden="false" customHeight="true" outlineLevel="0" collapsed="false">
      <c r="A10" s="2"/>
      <c r="B10" s="268" t="s">
        <v>4869</v>
      </c>
      <c r="C10" s="41" t="s">
        <v>4870</v>
      </c>
      <c r="D10" s="272" t="n">
        <v>4</v>
      </c>
      <c r="E10" s="41" t="s">
        <v>4871</v>
      </c>
      <c r="F10" s="2"/>
      <c r="G10" s="2"/>
      <c r="H10" s="2"/>
      <c r="I10" s="2"/>
      <c r="J10" s="2"/>
      <c r="K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30" hidden="false" customHeight="true" outlineLevel="0" collapsed="false">
      <c r="A13" s="2"/>
      <c r="B13" s="300" t="s">
        <v>4873</v>
      </c>
      <c r="C13" s="2"/>
      <c r="D13" s="2"/>
      <c r="E13" s="2"/>
      <c r="F13" s="2"/>
      <c r="G13" s="2"/>
      <c r="H13" s="2"/>
      <c r="I13" s="2"/>
      <c r="J13" s="2"/>
      <c r="K13" s="2"/>
    </row>
    <row r="14" customFormat="false" ht="54.75" hidden="false" customHeight="true" outlineLevel="0" collapsed="false">
      <c r="A14" s="2"/>
      <c r="B14" s="303" t="s">
        <v>4874</v>
      </c>
      <c r="C14" s="303" t="s">
        <v>4875</v>
      </c>
      <c r="D14" s="303" t="s">
        <v>4876</v>
      </c>
      <c r="E14" s="303" t="s">
        <v>4877</v>
      </c>
      <c r="F14" s="2"/>
      <c r="G14" s="2"/>
      <c r="H14" s="2"/>
      <c r="I14" s="2"/>
      <c r="J14" s="2"/>
      <c r="K14" s="2"/>
    </row>
    <row r="15" customFormat="false" ht="18" hidden="false" customHeight="true" outlineLevel="0" collapsed="false">
      <c r="A15" s="2"/>
      <c r="B15" s="268" t="s">
        <v>4879</v>
      </c>
      <c r="C15" s="272" t="n">
        <v>0.5</v>
      </c>
      <c r="D15" s="282" t="n">
        <f aca="false">D9</f>
        <v>18</v>
      </c>
      <c r="E15" s="282" t="n">
        <f aca="false">C15*D15</f>
        <v>9</v>
      </c>
      <c r="F15" s="2"/>
      <c r="G15" s="2"/>
      <c r="H15" s="2"/>
      <c r="I15" s="2"/>
      <c r="J15" s="2"/>
      <c r="K15" s="2"/>
    </row>
    <row r="16" customFormat="false" ht="18" hidden="false" customHeight="true" outlineLevel="0" collapsed="false">
      <c r="A16" s="2"/>
      <c r="B16" s="268" t="s">
        <v>4881</v>
      </c>
      <c r="C16" s="272" t="n">
        <v>0.3</v>
      </c>
      <c r="D16" s="282" t="n">
        <f aca="false">D9</f>
        <v>18</v>
      </c>
      <c r="E16" s="282" t="n">
        <f aca="false">C16*D16</f>
        <v>5.4</v>
      </c>
      <c r="F16" s="2"/>
      <c r="G16" s="2"/>
      <c r="H16" s="2"/>
      <c r="I16" s="2"/>
      <c r="J16" s="2"/>
      <c r="K16" s="2"/>
    </row>
    <row r="17" customFormat="false" ht="18" hidden="false" customHeight="true" outlineLevel="0" collapsed="false">
      <c r="A17" s="2"/>
      <c r="B17" s="268" t="s">
        <v>4883</v>
      </c>
      <c r="C17" s="272" t="n">
        <v>0.15</v>
      </c>
      <c r="D17" s="282" t="n">
        <f aca="false">(D7+D8)*2</f>
        <v>18</v>
      </c>
      <c r="E17" s="282" t="n">
        <f aca="false">C17*D17</f>
        <v>2.7</v>
      </c>
      <c r="F17" s="2"/>
      <c r="G17" s="2"/>
      <c r="H17" s="2"/>
      <c r="I17" s="2"/>
      <c r="J17" s="2"/>
      <c r="K17" s="2"/>
    </row>
    <row r="18" customFormat="false" ht="18" hidden="false" customHeight="true" outlineLevel="0" collapsed="false">
      <c r="A18" s="2"/>
      <c r="B18" s="268" t="s">
        <v>4886</v>
      </c>
      <c r="C18" s="272" t="n">
        <v>0.5</v>
      </c>
      <c r="D18" s="272" t="n">
        <v>1</v>
      </c>
      <c r="E18" s="282" t="n">
        <f aca="false">C18*D18</f>
        <v>0.5</v>
      </c>
      <c r="F18" s="2"/>
      <c r="G18" s="2"/>
      <c r="H18" s="2"/>
      <c r="I18" s="2"/>
      <c r="J18" s="2"/>
      <c r="K18" s="2"/>
    </row>
    <row r="19" customFormat="false" ht="18" hidden="false" customHeight="true" outlineLevel="0" collapsed="false">
      <c r="A19" s="2"/>
      <c r="B19" s="268" t="s">
        <v>4888</v>
      </c>
      <c r="C19" s="272" t="n">
        <v>0.1</v>
      </c>
      <c r="D19" s="282" t="n">
        <f aca="false">D9</f>
        <v>18</v>
      </c>
      <c r="E19" s="282" t="n">
        <f aca="false">C19*D19</f>
        <v>1.8</v>
      </c>
      <c r="F19" s="2"/>
      <c r="G19" s="2"/>
      <c r="H19" s="2"/>
      <c r="I19" s="2"/>
      <c r="J19" s="2"/>
      <c r="K19" s="2"/>
    </row>
    <row r="20" customFormat="false" ht="18" hidden="false" customHeight="true" outlineLevel="0" collapsed="false">
      <c r="A20" s="2"/>
      <c r="B20" s="268" t="s">
        <v>4891</v>
      </c>
      <c r="C20" s="272" t="n">
        <v>0.05</v>
      </c>
      <c r="D20" s="282" t="n">
        <f aca="false">D9</f>
        <v>18</v>
      </c>
      <c r="E20" s="282" t="n">
        <f aca="false">C20*D20</f>
        <v>0.9</v>
      </c>
      <c r="F20" s="2"/>
      <c r="G20" s="2"/>
      <c r="H20" s="2"/>
      <c r="I20" s="2"/>
      <c r="J20" s="2"/>
      <c r="K20" s="2"/>
    </row>
    <row r="21" customFormat="false" ht="30" hidden="false" customHeight="true" outlineLevel="0" collapsed="false">
      <c r="A21" s="2"/>
      <c r="B21" s="290" t="s">
        <v>4894</v>
      </c>
      <c r="C21" s="290"/>
      <c r="D21" s="290"/>
      <c r="E21" s="304" t="n">
        <f aca="false">SUM(E15:E20)</f>
        <v>20.3</v>
      </c>
      <c r="F21" s="2"/>
      <c r="G21" s="2"/>
      <c r="H21" s="2"/>
      <c r="I21" s="2"/>
      <c r="J21" s="2"/>
      <c r="K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30" hidden="false" customHeight="true" outlineLevel="0" collapsed="false">
      <c r="A23" s="2"/>
      <c r="B23" s="300" t="s">
        <v>4896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30" hidden="false" customHeight="true" outlineLevel="0" collapsed="false">
      <c r="A24" s="2"/>
      <c r="B24" s="303" t="s">
        <v>4897</v>
      </c>
      <c r="C24" s="303" t="s">
        <v>4898</v>
      </c>
      <c r="D24" s="303" t="s">
        <v>4899</v>
      </c>
      <c r="E24" s="303" t="s">
        <v>4877</v>
      </c>
      <c r="F24" s="2"/>
      <c r="G24" s="2"/>
      <c r="H24" s="2"/>
      <c r="I24" s="2"/>
      <c r="J24" s="2"/>
      <c r="K24" s="2"/>
    </row>
    <row r="25" customFormat="false" ht="18" hidden="false" customHeight="true" outlineLevel="0" collapsed="false">
      <c r="A25" s="2"/>
      <c r="B25" s="268" t="s">
        <v>4901</v>
      </c>
      <c r="C25" s="272" t="n">
        <v>3</v>
      </c>
      <c r="D25" s="282" t="n">
        <f aca="false">D9</f>
        <v>18</v>
      </c>
      <c r="E25" s="282" t="n">
        <f aca="false">C25*D25</f>
        <v>54</v>
      </c>
      <c r="F25" s="2"/>
      <c r="G25" s="2"/>
      <c r="H25" s="2"/>
      <c r="I25" s="2"/>
      <c r="J25" s="2"/>
      <c r="K25" s="2"/>
    </row>
    <row r="26" customFormat="false" ht="18" hidden="false" customHeight="true" outlineLevel="0" collapsed="false">
      <c r="A26" s="2"/>
      <c r="B26" s="268" t="s">
        <v>4903</v>
      </c>
      <c r="C26" s="272" t="n">
        <v>5</v>
      </c>
      <c r="D26" s="282" t="n">
        <f aca="false">D9</f>
        <v>18</v>
      </c>
      <c r="E26" s="282" t="n">
        <f aca="false">C26*D26</f>
        <v>90</v>
      </c>
      <c r="F26" s="2"/>
      <c r="G26" s="2"/>
      <c r="H26" s="2"/>
      <c r="I26" s="2"/>
      <c r="J26" s="2"/>
      <c r="K26" s="2"/>
    </row>
    <row r="27" customFormat="false" ht="18" hidden="false" customHeight="true" outlineLevel="0" collapsed="false">
      <c r="A27" s="2"/>
      <c r="B27" s="268" t="s">
        <v>4905</v>
      </c>
      <c r="C27" s="272" t="n">
        <v>7.5</v>
      </c>
      <c r="D27" s="282" t="n">
        <f aca="false">D9</f>
        <v>18</v>
      </c>
      <c r="E27" s="282" t="n">
        <f aca="false">C27*D27</f>
        <v>135</v>
      </c>
      <c r="F27" s="2"/>
      <c r="G27" s="2"/>
      <c r="H27" s="2"/>
      <c r="I27" s="2"/>
      <c r="J27" s="2"/>
      <c r="K27" s="2"/>
    </row>
    <row r="28" customFormat="false" ht="18" hidden="false" customHeight="true" outlineLevel="0" collapsed="false">
      <c r="A28" s="2"/>
      <c r="B28" s="268" t="s">
        <v>4907</v>
      </c>
      <c r="C28" s="272" t="n">
        <v>1.5</v>
      </c>
      <c r="D28" s="282" t="s">
        <v>1045</v>
      </c>
      <c r="E28" s="282" t="n">
        <f aca="false">C28*D28</f>
        <v>1.5</v>
      </c>
      <c r="F28" s="2"/>
      <c r="G28" s="2"/>
      <c r="H28" s="2"/>
      <c r="I28" s="2"/>
      <c r="J28" s="2"/>
      <c r="K28" s="2"/>
    </row>
    <row r="29" customFormat="false" ht="30" hidden="false" customHeight="true" outlineLevel="0" collapsed="false">
      <c r="A29" s="2"/>
      <c r="B29" s="4" t="s">
        <v>4909</v>
      </c>
      <c r="C29" s="4"/>
      <c r="D29" s="4"/>
      <c r="E29" s="4"/>
      <c r="F29" s="2"/>
      <c r="G29" s="2"/>
      <c r="H29" s="2"/>
      <c r="I29" s="2"/>
      <c r="J29" s="2"/>
      <c r="K29" s="2"/>
    </row>
    <row r="30" customFormat="false" ht="30" hidden="false" customHeight="true" outlineLevel="0" collapsed="false">
      <c r="A30" s="2"/>
      <c r="B30" s="290" t="s">
        <v>4910</v>
      </c>
      <c r="C30" s="290"/>
      <c r="D30" s="290"/>
      <c r="E30" s="304" t="n">
        <f aca="false">E25</f>
        <v>54</v>
      </c>
      <c r="F30" s="2"/>
      <c r="G30" s="2"/>
      <c r="H30" s="2"/>
      <c r="I30" s="2"/>
      <c r="J30" s="2"/>
      <c r="K30" s="2"/>
    </row>
    <row r="31" customFormat="false" ht="1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30" hidden="false" customHeight="true" outlineLevel="0" collapsed="false">
      <c r="A32" s="2"/>
      <c r="B32" s="300" t="s">
        <v>4912</v>
      </c>
      <c r="C32" s="2"/>
      <c r="D32" s="2"/>
      <c r="E32" s="2"/>
      <c r="F32" s="2"/>
      <c r="G32" s="2"/>
      <c r="H32" s="2"/>
      <c r="I32" s="2"/>
      <c r="J32" s="2"/>
      <c r="K32" s="2"/>
    </row>
    <row r="33" customFormat="false" ht="30" hidden="false" customHeight="true" outlineLevel="0" collapsed="false">
      <c r="A33" s="2"/>
      <c r="B33" s="303" t="s">
        <v>4855</v>
      </c>
      <c r="C33" s="303" t="s">
        <v>4856</v>
      </c>
      <c r="D33" s="303" t="s">
        <v>4857</v>
      </c>
      <c r="E33" s="303" t="s">
        <v>4753</v>
      </c>
      <c r="F33" s="2"/>
      <c r="G33" s="2"/>
      <c r="H33" s="2"/>
      <c r="I33" s="2"/>
      <c r="J33" s="2"/>
      <c r="K33" s="2"/>
    </row>
    <row r="34" customFormat="false" ht="18" hidden="false" customHeight="true" outlineLevel="0" collapsed="false">
      <c r="A34" s="2"/>
      <c r="B34" s="268" t="s">
        <v>4913</v>
      </c>
      <c r="C34" s="41" t="s">
        <v>4914</v>
      </c>
      <c r="D34" s="271" t="n">
        <v>22</v>
      </c>
      <c r="E34" s="41" t="s">
        <v>4915</v>
      </c>
      <c r="F34" s="2"/>
      <c r="G34" s="2"/>
      <c r="H34" s="2"/>
      <c r="I34" s="2"/>
      <c r="J34" s="2"/>
      <c r="K34" s="2"/>
    </row>
    <row r="35" customFormat="false" ht="18" hidden="false" customHeight="true" outlineLevel="0" collapsed="false">
      <c r="A35" s="2"/>
      <c r="B35" s="268" t="s">
        <v>4917</v>
      </c>
      <c r="C35" s="41" t="s">
        <v>4918</v>
      </c>
      <c r="D35" s="271" t="n">
        <v>1.25</v>
      </c>
      <c r="E35" s="41" t="s">
        <v>4919</v>
      </c>
      <c r="F35" s="2"/>
      <c r="G35" s="2"/>
      <c r="H35" s="2"/>
      <c r="I35" s="2"/>
      <c r="J35" s="2"/>
      <c r="K35" s="2"/>
    </row>
    <row r="36" customFormat="false" ht="30" hidden="false" customHeight="true" outlineLevel="0" collapsed="false">
      <c r="A36" s="2"/>
      <c r="B36" s="268" t="s">
        <v>4921</v>
      </c>
      <c r="C36" s="41" t="s">
        <v>4922</v>
      </c>
      <c r="D36" s="305" t="n">
        <f aca="false">0.5*D35/1000*D34^2</f>
        <v>0.3025</v>
      </c>
      <c r="E36" s="41" t="s">
        <v>4923</v>
      </c>
      <c r="F36" s="2"/>
      <c r="G36" s="2"/>
      <c r="H36" s="2"/>
      <c r="I36" s="2"/>
      <c r="J36" s="2"/>
      <c r="K36" s="2"/>
    </row>
    <row r="37" customFormat="false" ht="18" hidden="false" customHeight="true" outlineLevel="0" collapsed="false">
      <c r="A37" s="2"/>
      <c r="B37" s="268" t="s">
        <v>4925</v>
      </c>
      <c r="C37" s="41" t="s">
        <v>4926</v>
      </c>
      <c r="D37" s="271" t="n">
        <v>1.3</v>
      </c>
      <c r="E37" s="41" t="s">
        <v>524</v>
      </c>
      <c r="F37" s="2"/>
      <c r="G37" s="2"/>
      <c r="H37" s="2"/>
      <c r="I37" s="2"/>
      <c r="J37" s="2"/>
      <c r="K37" s="2"/>
    </row>
    <row r="38" customFormat="false" ht="18" hidden="false" customHeight="true" outlineLevel="0" collapsed="false">
      <c r="A38" s="2"/>
      <c r="B38" s="268" t="s">
        <v>4928</v>
      </c>
      <c r="C38" s="41" t="s">
        <v>4929</v>
      </c>
      <c r="D38" s="271" t="n">
        <v>1.2</v>
      </c>
      <c r="E38" s="41" t="s">
        <v>4654</v>
      </c>
      <c r="F38" s="2"/>
      <c r="G38" s="2"/>
      <c r="H38" s="2"/>
      <c r="I38" s="2"/>
      <c r="J38" s="2"/>
      <c r="K38" s="2"/>
    </row>
    <row r="39" customFormat="false" ht="18" hidden="false" customHeight="true" outlineLevel="0" collapsed="false">
      <c r="A39" s="2"/>
      <c r="B39" s="268" t="s">
        <v>4931</v>
      </c>
      <c r="C39" s="41" t="s">
        <v>4932</v>
      </c>
      <c r="D39" s="305" t="n">
        <f aca="false">D7</f>
        <v>6</v>
      </c>
      <c r="E39" s="41" t="s">
        <v>4654</v>
      </c>
      <c r="F39" s="2"/>
      <c r="G39" s="2"/>
      <c r="H39" s="2"/>
      <c r="I39" s="2"/>
      <c r="J39" s="2"/>
      <c r="K39" s="2"/>
    </row>
    <row r="40" customFormat="false" ht="18" hidden="false" customHeight="true" outlineLevel="0" collapsed="false">
      <c r="A40" s="2"/>
      <c r="B40" s="268" t="s">
        <v>4934</v>
      </c>
      <c r="C40" s="41" t="s">
        <v>4935</v>
      </c>
      <c r="D40" s="305" t="n">
        <f aca="false">D36*D37*D38*D39</f>
        <v>2.8314</v>
      </c>
      <c r="E40" s="41" t="s">
        <v>4673</v>
      </c>
      <c r="F40" s="2"/>
      <c r="G40" s="2"/>
      <c r="H40" s="2"/>
      <c r="I40" s="2"/>
      <c r="J40" s="2"/>
      <c r="K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30" hidden="false" customHeight="true" outlineLevel="0" collapsed="false">
      <c r="A43" s="2"/>
      <c r="B43" s="300" t="s">
        <v>4937</v>
      </c>
      <c r="C43" s="2"/>
      <c r="D43" s="2"/>
      <c r="E43" s="2"/>
      <c r="F43" s="2"/>
      <c r="G43" s="2"/>
      <c r="H43" s="2"/>
      <c r="I43" s="2"/>
      <c r="J43" s="2"/>
      <c r="K43" s="2"/>
    </row>
    <row r="44" customFormat="false" ht="30" hidden="false" customHeight="true" outlineLevel="0" collapsed="false">
      <c r="A44" s="2"/>
      <c r="B44" s="303" t="s">
        <v>4938</v>
      </c>
      <c r="C44" s="303" t="s">
        <v>4939</v>
      </c>
      <c r="D44" s="303" t="s">
        <v>4940</v>
      </c>
      <c r="E44" s="303" t="s">
        <v>4941</v>
      </c>
      <c r="F44" s="2"/>
      <c r="G44" s="2"/>
      <c r="H44" s="2"/>
      <c r="I44" s="2"/>
      <c r="J44" s="2"/>
      <c r="K44" s="2"/>
    </row>
    <row r="45" customFormat="false" ht="30" hidden="false" customHeight="true" outlineLevel="0" collapsed="false">
      <c r="A45" s="2"/>
      <c r="B45" s="268" t="s">
        <v>4943</v>
      </c>
      <c r="C45" s="41" t="s">
        <v>4944</v>
      </c>
      <c r="D45" s="282" t="n">
        <f aca="false">1.35*E21+1.5*E30</f>
        <v>108.405</v>
      </c>
      <c r="E45" s="282" t="n">
        <f aca="false">D45/D10</f>
        <v>27.10125</v>
      </c>
      <c r="F45" s="2"/>
      <c r="G45" s="2"/>
      <c r="H45" s="2"/>
      <c r="I45" s="2"/>
      <c r="J45" s="2"/>
      <c r="K45" s="2"/>
    </row>
    <row r="46" customFormat="false" ht="34.5" hidden="false" customHeight="true" outlineLevel="0" collapsed="false">
      <c r="A46" s="2"/>
      <c r="B46" s="268" t="s">
        <v>4946</v>
      </c>
      <c r="C46" s="41" t="s">
        <v>4947</v>
      </c>
      <c r="D46" s="282" t="n">
        <f aca="false">1.35*E21+1.5*E30+0.6*D40</f>
        <v>110.10384</v>
      </c>
      <c r="E46" s="282" t="n">
        <f aca="false">D46/D10</f>
        <v>27.52596</v>
      </c>
      <c r="F46" s="2"/>
      <c r="G46" s="2"/>
      <c r="H46" s="2"/>
      <c r="I46" s="2"/>
      <c r="J46" s="2"/>
      <c r="K46" s="2"/>
    </row>
    <row r="47" customFormat="false" ht="34.5" hidden="false" customHeight="true" outlineLevel="0" collapsed="false">
      <c r="A47" s="2"/>
      <c r="B47" s="268" t="s">
        <v>4949</v>
      </c>
      <c r="C47" s="41" t="s">
        <v>4950</v>
      </c>
      <c r="D47" s="282" t="n">
        <f aca="false">1.35*E21+1.5*D40+0.7*E30</f>
        <v>69.4521</v>
      </c>
      <c r="E47" s="282" t="n">
        <f aca="false">D47/D10</f>
        <v>17.363025</v>
      </c>
      <c r="F47" s="2"/>
      <c r="G47" s="2"/>
      <c r="H47" s="2"/>
      <c r="I47" s="2"/>
      <c r="J47" s="2"/>
      <c r="K47" s="2"/>
    </row>
    <row r="48" customFormat="false" ht="45.75" hidden="false" customHeight="true" outlineLevel="0" collapsed="false">
      <c r="A48" s="2"/>
      <c r="B48" s="268" t="s">
        <v>4952</v>
      </c>
      <c r="C48" s="41" t="s">
        <v>4953</v>
      </c>
      <c r="D48" s="282" t="n">
        <f aca="false">1*E21</f>
        <v>20.3</v>
      </c>
      <c r="E48" s="282" t="n">
        <f aca="false">D48/D10</f>
        <v>5.075</v>
      </c>
      <c r="F48" s="2"/>
      <c r="G48" s="2"/>
      <c r="H48" s="2"/>
      <c r="I48" s="2"/>
      <c r="J48" s="2"/>
      <c r="K48" s="2"/>
    </row>
    <row r="49" customFormat="false" ht="30" hidden="false" customHeight="true" outlineLevel="0" collapsed="false">
      <c r="A49" s="2"/>
      <c r="B49" s="290" t="s">
        <v>4955</v>
      </c>
      <c r="C49" s="290"/>
      <c r="D49" s="304" t="n">
        <f aca="false">MAX(D45:D48)</f>
        <v>110.10384</v>
      </c>
      <c r="E49" s="304" t="n">
        <f aca="false">MAX(E45:E48)</f>
        <v>27.52596</v>
      </c>
      <c r="F49" s="2"/>
      <c r="G49" s="2"/>
      <c r="H49" s="2"/>
      <c r="I49" s="2"/>
      <c r="J49" s="2"/>
      <c r="K49" s="2"/>
    </row>
    <row r="50" customFormat="false" ht="30" hidden="false" customHeight="true" outlineLevel="0" collapsed="false">
      <c r="A50" s="2"/>
      <c r="B50" s="290" t="s">
        <v>4957</v>
      </c>
      <c r="C50" s="290"/>
      <c r="D50" s="304" t="n">
        <f aca="false">1.5*D40</f>
        <v>4.2471</v>
      </c>
      <c r="E50" s="304" t="n">
        <f aca="false">D50/D10</f>
        <v>1.061775</v>
      </c>
      <c r="F50" s="2"/>
      <c r="G50" s="2"/>
      <c r="H50" s="2"/>
      <c r="I50" s="2"/>
      <c r="J50" s="2"/>
      <c r="K50" s="2"/>
    </row>
    <row r="51" customFormat="false" ht="1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30" hidden="false" customHeight="true" outlineLevel="0" collapsed="false">
      <c r="A52" s="2"/>
      <c r="B52" s="300" t="s">
        <v>4959</v>
      </c>
      <c r="C52" s="2"/>
      <c r="D52" s="2"/>
      <c r="E52" s="2"/>
      <c r="F52" s="2"/>
      <c r="G52" s="2"/>
      <c r="H52" s="2"/>
      <c r="I52" s="2"/>
      <c r="J52" s="2"/>
      <c r="K52" s="2"/>
    </row>
    <row r="53" customFormat="false" ht="30" hidden="false" customHeight="true" outlineLevel="0" collapsed="false">
      <c r="A53" s="2"/>
      <c r="B53" s="4" t="s">
        <v>4960</v>
      </c>
      <c r="C53" s="4"/>
      <c r="D53" s="4"/>
      <c r="E53" s="4"/>
      <c r="F53" s="2"/>
      <c r="G53" s="2"/>
      <c r="H53" s="2"/>
      <c r="I53" s="2"/>
      <c r="J53" s="2"/>
      <c r="K53" s="2"/>
    </row>
    <row r="54" customFormat="false" ht="30" hidden="false" customHeight="true" outlineLevel="0" collapsed="false">
      <c r="A54" s="2"/>
      <c r="B54" s="303" t="s">
        <v>4855</v>
      </c>
      <c r="C54" s="303" t="s">
        <v>4856</v>
      </c>
      <c r="D54" s="303" t="s">
        <v>4857</v>
      </c>
      <c r="E54" s="303" t="s">
        <v>4753</v>
      </c>
      <c r="F54" s="2"/>
      <c r="G54" s="2"/>
      <c r="H54" s="2"/>
      <c r="I54" s="2"/>
      <c r="J54" s="2"/>
      <c r="K54" s="2"/>
    </row>
    <row r="55" customFormat="false" ht="18" hidden="false" customHeight="true" outlineLevel="0" collapsed="false">
      <c r="A55" s="2"/>
      <c r="B55" s="268" t="s">
        <v>4961</v>
      </c>
      <c r="C55" s="41"/>
      <c r="D55" s="306" t="s">
        <v>4962</v>
      </c>
      <c r="E55" s="41" t="s">
        <v>524</v>
      </c>
      <c r="F55" s="2"/>
      <c r="G55" s="2"/>
      <c r="H55" s="2"/>
      <c r="I55" s="2"/>
      <c r="J55" s="2"/>
      <c r="K55" s="2"/>
    </row>
    <row r="56" customFormat="false" ht="18" hidden="false" customHeight="true" outlineLevel="0" collapsed="false">
      <c r="A56" s="2"/>
      <c r="B56" s="268" t="s">
        <v>4964</v>
      </c>
      <c r="C56" s="41" t="s">
        <v>4818</v>
      </c>
      <c r="D56" s="272" t="n">
        <v>65</v>
      </c>
      <c r="E56" s="41" t="s">
        <v>4649</v>
      </c>
      <c r="F56" s="2"/>
      <c r="G56" s="2"/>
      <c r="H56" s="2"/>
      <c r="I56" s="2"/>
      <c r="J56" s="2"/>
      <c r="K56" s="2"/>
    </row>
    <row r="57" customFormat="false" ht="18" hidden="false" customHeight="true" outlineLevel="0" collapsed="false">
      <c r="A57" s="2"/>
      <c r="B57" s="268" t="s">
        <v>4966</v>
      </c>
      <c r="C57" s="41"/>
      <c r="D57" s="306" t="s">
        <v>4967</v>
      </c>
      <c r="E57" s="41" t="s">
        <v>524</v>
      </c>
      <c r="F57" s="2"/>
      <c r="G57" s="2"/>
      <c r="H57" s="2"/>
      <c r="I57" s="2"/>
      <c r="J57" s="2"/>
      <c r="K57" s="2"/>
    </row>
    <row r="58" customFormat="false" ht="30" hidden="false" customHeight="true" outlineLevel="0" collapsed="false">
      <c r="A58" s="2"/>
      <c r="B58" s="268" t="s">
        <v>4969</v>
      </c>
      <c r="C58" s="41" t="s">
        <v>4823</v>
      </c>
      <c r="D58" s="272" t="n">
        <v>17.6</v>
      </c>
      <c r="E58" s="41" t="s">
        <v>4673</v>
      </c>
      <c r="F58" s="2"/>
      <c r="G58" s="2"/>
      <c r="H58" s="2"/>
      <c r="I58" s="2"/>
      <c r="J58" s="2"/>
      <c r="K58" s="2"/>
    </row>
    <row r="59" customFormat="false" ht="18" hidden="false" customHeight="true" outlineLevel="0" collapsed="false">
      <c r="A59" s="2"/>
      <c r="B59" s="268" t="s">
        <v>4971</v>
      </c>
      <c r="C59" s="41" t="s">
        <v>4827</v>
      </c>
      <c r="D59" s="272" t="n">
        <v>25</v>
      </c>
      <c r="E59" s="41" t="s">
        <v>4673</v>
      </c>
      <c r="F59" s="2"/>
      <c r="G59" s="2"/>
      <c r="H59" s="2"/>
      <c r="I59" s="2"/>
      <c r="J59" s="2"/>
      <c r="K59" s="2"/>
    </row>
    <row r="60" customFormat="false" ht="18" hidden="false" customHeight="true" outlineLevel="0" collapsed="false">
      <c r="A60" s="2"/>
      <c r="B60" s="268" t="s">
        <v>4973</v>
      </c>
      <c r="C60" s="41" t="s">
        <v>4974</v>
      </c>
      <c r="D60" s="302" t="n">
        <f aca="false">E49</f>
        <v>27.52596</v>
      </c>
      <c r="E60" s="41" t="s">
        <v>4673</v>
      </c>
      <c r="F60" s="2"/>
      <c r="G60" s="2"/>
      <c r="H60" s="2"/>
      <c r="I60" s="2"/>
      <c r="J60" s="2"/>
      <c r="K60" s="2"/>
    </row>
    <row r="61" customFormat="false" ht="18" hidden="false" customHeight="true" outlineLevel="0" collapsed="false">
      <c r="A61" s="2"/>
      <c r="B61" s="268" t="s">
        <v>4976</v>
      </c>
      <c r="C61" s="41" t="s">
        <v>4977</v>
      </c>
      <c r="D61" s="302" t="n">
        <f aca="false">E50</f>
        <v>1.061775</v>
      </c>
      <c r="E61" s="41" t="s">
        <v>4673</v>
      </c>
      <c r="F61" s="2"/>
      <c r="G61" s="2"/>
      <c r="H61" s="2"/>
      <c r="I61" s="2"/>
      <c r="J61" s="2"/>
      <c r="K61" s="2"/>
    </row>
    <row r="62" customFormat="false" ht="30" hidden="false" customHeight="true" outlineLevel="0" collapsed="false">
      <c r="A62" s="2"/>
      <c r="B62" s="268" t="s">
        <v>4979</v>
      </c>
      <c r="C62" s="41" t="s">
        <v>4980</v>
      </c>
      <c r="D62" s="307" t="n">
        <f aca="false">IF(D58=0,"",D60/D58)</f>
        <v>1.563975</v>
      </c>
      <c r="E62" s="41" t="s">
        <v>4981</v>
      </c>
      <c r="F62" s="2"/>
      <c r="G62" s="2"/>
      <c r="H62" s="2"/>
      <c r="I62" s="2"/>
      <c r="J62" s="2"/>
      <c r="K62" s="2"/>
    </row>
    <row r="63" customFormat="false" ht="30" hidden="false" customHeight="true" outlineLevel="0" collapsed="false">
      <c r="A63" s="2"/>
      <c r="B63" s="268" t="s">
        <v>4983</v>
      </c>
      <c r="C63" s="41" t="s">
        <v>4984</v>
      </c>
      <c r="D63" s="307" t="n">
        <f aca="false">IF(D59=0,"",D61/D59)</f>
        <v>0.042471</v>
      </c>
      <c r="E63" s="41" t="s">
        <v>4981</v>
      </c>
      <c r="F63" s="2"/>
      <c r="G63" s="2"/>
      <c r="H63" s="2"/>
      <c r="I63" s="2"/>
      <c r="J63" s="2"/>
      <c r="K63" s="2"/>
    </row>
    <row r="64" customFormat="false" ht="18" hidden="false" customHeight="true" outlineLevel="0" collapsed="false">
      <c r="A64" s="2"/>
      <c r="B64" s="268" t="s">
        <v>4986</v>
      </c>
      <c r="C64" s="41" t="s">
        <v>4987</v>
      </c>
      <c r="D64" s="302" t="n">
        <f aca="false">D62+D63</f>
        <v>1.606446</v>
      </c>
      <c r="E64" s="41" t="s">
        <v>524</v>
      </c>
      <c r="F64" s="2"/>
      <c r="G64" s="2"/>
      <c r="H64" s="2"/>
      <c r="I64" s="2"/>
      <c r="J64" s="2"/>
      <c r="K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customFormat="false" ht="75" hidden="false" customHeight="true" outlineLevel="0" collapsed="false">
      <c r="A66" s="2"/>
      <c r="B66" s="308" t="s">
        <v>4989</v>
      </c>
      <c r="C66" s="308"/>
      <c r="D66" s="309" t="str">
        <f aca="false">IF(D64&lt;=1.2,"PASS ✓","FAIL ✗ — Increase anchor size or add more anchors")</f>
        <v>FAIL ✗ — Increase anchor size or add more anchors</v>
      </c>
      <c r="E66" s="2"/>
      <c r="F66" s="2"/>
      <c r="G66" s="2"/>
      <c r="H66" s="2"/>
      <c r="I66" s="2"/>
      <c r="J66" s="2"/>
      <c r="K66" s="2"/>
    </row>
    <row r="67" customFormat="false" ht="1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8" hidden="false" customHeight="true" outlineLevel="0" collapsed="false">
      <c r="A68" s="2"/>
      <c r="B68" s="310" t="s">
        <v>4991</v>
      </c>
      <c r="C68" s="2"/>
      <c r="D68" s="2"/>
      <c r="E68" s="2"/>
      <c r="F68" s="2"/>
      <c r="G68" s="2"/>
      <c r="H68" s="2"/>
      <c r="I68" s="2"/>
      <c r="J68" s="2"/>
      <c r="K68" s="2"/>
    </row>
    <row r="69" customFormat="false" ht="45" hidden="false" customHeight="true" outlineLevel="0" collapsed="false">
      <c r="A69" s="2"/>
      <c r="B69" s="60" t="s">
        <v>4992</v>
      </c>
      <c r="C69" s="2"/>
      <c r="D69" s="2"/>
      <c r="E69" s="2"/>
      <c r="F69" s="2"/>
      <c r="G69" s="2"/>
      <c r="H69" s="2"/>
      <c r="I69" s="2"/>
      <c r="J69" s="2"/>
      <c r="K69" s="2"/>
    </row>
  </sheetData>
  <mergeCells count="9">
    <mergeCell ref="B2:K2"/>
    <mergeCell ref="B3:K3"/>
    <mergeCell ref="B21:D21"/>
    <mergeCell ref="B29:E29"/>
    <mergeCell ref="B30:D30"/>
    <mergeCell ref="B49:C49"/>
    <mergeCell ref="B50:C50"/>
    <mergeCell ref="B53:E53"/>
    <mergeCell ref="B66:C66"/>
  </mergeCells>
  <hyperlinks>
    <hyperlink ref="B68" location="'Fischer FBN II'!A1" display="→ Go to Fischer FBN II Reference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6" min="4" style="1" width="12"/>
    <col collapsed="false" customWidth="true" hidden="false" outlineLevel="0" max="7" min="7" style="1" width="14"/>
    <col collapsed="false" customWidth="true" hidden="false" outlineLevel="0" max="12" min="8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99" t="s">
        <v>4994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4995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4996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4997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4523</v>
      </c>
      <c r="C7" s="312" t="s">
        <v>4998</v>
      </c>
      <c r="D7" s="312" t="s">
        <v>4999</v>
      </c>
      <c r="E7" s="312" t="s">
        <v>5000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13" t="s">
        <v>5002</v>
      </c>
      <c r="C8" s="313" t="s">
        <v>5003</v>
      </c>
      <c r="D8" s="313" t="s">
        <v>5004</v>
      </c>
      <c r="E8" s="313" t="s">
        <v>5005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13" t="s">
        <v>5007</v>
      </c>
      <c r="C9" s="313" t="s">
        <v>5008</v>
      </c>
      <c r="D9" s="313" t="s">
        <v>5009</v>
      </c>
      <c r="E9" s="313" t="s">
        <v>5010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5012</v>
      </c>
      <c r="C10" s="313" t="s">
        <v>5013</v>
      </c>
      <c r="D10" s="313" t="s">
        <v>5009</v>
      </c>
      <c r="E10" s="313" t="s">
        <v>5014</v>
      </c>
      <c r="F10" s="2"/>
      <c r="G10" s="2"/>
      <c r="H10" s="2"/>
      <c r="I10" s="2"/>
      <c r="J10" s="2"/>
      <c r="K10" s="2"/>
      <c r="L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customFormat="false" ht="45" hidden="false" customHeight="true" outlineLevel="0" collapsed="false">
      <c r="A12" s="2"/>
      <c r="B12" s="311" t="s">
        <v>5016</v>
      </c>
      <c r="C12" s="311"/>
      <c r="D12" s="311"/>
      <c r="E12" s="311"/>
      <c r="F12" s="311"/>
      <c r="G12" s="311"/>
      <c r="H12" s="311"/>
      <c r="I12" s="311"/>
      <c r="J12" s="311"/>
      <c r="K12" s="311"/>
      <c r="L12" s="311"/>
    </row>
    <row r="13" customFormat="false" ht="30" hidden="false" customHeight="true" outlineLevel="0" collapsed="false">
      <c r="A13" s="2"/>
      <c r="B13" s="312" t="s">
        <v>5017</v>
      </c>
      <c r="C13" s="312" t="s">
        <v>5018</v>
      </c>
      <c r="D13" s="312" t="s">
        <v>5019</v>
      </c>
      <c r="E13" s="312" t="s">
        <v>5020</v>
      </c>
      <c r="F13" s="312" t="s">
        <v>5021</v>
      </c>
      <c r="G13" s="312" t="s">
        <v>5976</v>
      </c>
      <c r="H13" s="312" t="s">
        <v>5977</v>
      </c>
      <c r="I13" s="312" t="s">
        <v>5978</v>
      </c>
      <c r="J13" s="312" t="s">
        <v>5979</v>
      </c>
      <c r="K13" s="312" t="s">
        <v>5980</v>
      </c>
      <c r="L13" s="2"/>
    </row>
    <row r="14" customFormat="false" ht="18" hidden="false" customHeight="true" outlineLevel="0" collapsed="false">
      <c r="A14" s="2"/>
      <c r="B14" s="313" t="s">
        <v>5023</v>
      </c>
      <c r="C14" s="313" t="n">
        <v>6</v>
      </c>
      <c r="D14" s="313" t="n">
        <v>30</v>
      </c>
      <c r="E14" s="313" t="s">
        <v>524</v>
      </c>
      <c r="F14" s="313" t="n">
        <v>40</v>
      </c>
      <c r="G14" s="313" t="s">
        <v>524</v>
      </c>
      <c r="H14" s="313" t="n">
        <v>8</v>
      </c>
      <c r="I14" s="313" t="n">
        <v>4</v>
      </c>
      <c r="J14" s="313" t="n">
        <v>10</v>
      </c>
      <c r="K14" s="313" t="n">
        <v>7</v>
      </c>
      <c r="L14" s="2"/>
    </row>
    <row r="15" customFormat="false" ht="18" hidden="false" customHeight="true" outlineLevel="0" collapsed="false">
      <c r="A15" s="2"/>
      <c r="B15" s="313" t="s">
        <v>5025</v>
      </c>
      <c r="C15" s="313" t="n">
        <v>8</v>
      </c>
      <c r="D15" s="313" t="n">
        <v>40</v>
      </c>
      <c r="E15" s="313" t="n">
        <v>30</v>
      </c>
      <c r="F15" s="313" t="n">
        <v>46</v>
      </c>
      <c r="G15" s="313" t="n">
        <v>41</v>
      </c>
      <c r="H15" s="313" t="n">
        <v>15</v>
      </c>
      <c r="I15" s="313" t="n">
        <v>10</v>
      </c>
      <c r="J15" s="313" t="n">
        <v>13</v>
      </c>
      <c r="K15" s="313" t="n">
        <v>9</v>
      </c>
      <c r="L15" s="2"/>
    </row>
    <row r="16" customFormat="false" ht="18" hidden="false" customHeight="true" outlineLevel="0" collapsed="false">
      <c r="A16" s="2"/>
      <c r="B16" s="313" t="s">
        <v>5027</v>
      </c>
      <c r="C16" s="313" t="n">
        <v>10</v>
      </c>
      <c r="D16" s="313" t="n">
        <v>50</v>
      </c>
      <c r="E16" s="313" t="n">
        <v>40</v>
      </c>
      <c r="F16" s="313" t="n">
        <v>58</v>
      </c>
      <c r="G16" s="313" t="n">
        <v>46</v>
      </c>
      <c r="H16" s="313" t="n">
        <v>30</v>
      </c>
      <c r="I16" s="313" t="n">
        <v>15</v>
      </c>
      <c r="J16" s="313" t="n">
        <v>17</v>
      </c>
      <c r="K16" s="313" t="n">
        <v>12</v>
      </c>
      <c r="L16" s="2"/>
    </row>
    <row r="17" customFormat="false" ht="18" hidden="false" customHeight="true" outlineLevel="0" collapsed="false">
      <c r="A17" s="2"/>
      <c r="B17" s="313" t="s">
        <v>5029</v>
      </c>
      <c r="C17" s="313" t="n">
        <v>12</v>
      </c>
      <c r="D17" s="313" t="n">
        <v>65</v>
      </c>
      <c r="E17" s="313" t="n">
        <v>50</v>
      </c>
      <c r="F17" s="313" t="n">
        <v>85</v>
      </c>
      <c r="G17" s="313" t="n">
        <v>68</v>
      </c>
      <c r="H17" s="313" t="n">
        <v>50</v>
      </c>
      <c r="I17" s="313" t="n">
        <v>35</v>
      </c>
      <c r="J17" s="313" t="n">
        <v>19</v>
      </c>
      <c r="K17" s="313" t="n">
        <v>14</v>
      </c>
      <c r="L17" s="2"/>
    </row>
    <row r="18" customFormat="false" ht="18" hidden="false" customHeight="true" outlineLevel="0" collapsed="false">
      <c r="A18" s="2"/>
      <c r="B18" s="313" t="s">
        <v>5031</v>
      </c>
      <c r="C18" s="313" t="n">
        <v>16</v>
      </c>
      <c r="D18" s="313" t="n">
        <v>80</v>
      </c>
      <c r="E18" s="313" t="n">
        <v>65</v>
      </c>
      <c r="F18" s="313" t="n">
        <v>104</v>
      </c>
      <c r="G18" s="313" t="n">
        <v>89</v>
      </c>
      <c r="H18" s="313" t="n">
        <v>100</v>
      </c>
      <c r="I18" s="313" t="n">
        <v>80</v>
      </c>
      <c r="J18" s="313" t="n">
        <v>24</v>
      </c>
      <c r="K18" s="313" t="n">
        <v>18</v>
      </c>
      <c r="L18" s="2"/>
    </row>
    <row r="19" customFormat="false" ht="18" hidden="false" customHeight="true" outlineLevel="0" collapsed="false">
      <c r="A19" s="2"/>
      <c r="B19" s="313" t="s">
        <v>5033</v>
      </c>
      <c r="C19" s="313" t="n">
        <v>20</v>
      </c>
      <c r="D19" s="313" t="n">
        <v>105</v>
      </c>
      <c r="E19" s="313" t="n">
        <v>80</v>
      </c>
      <c r="F19" s="313" t="n">
        <v>135</v>
      </c>
      <c r="G19" s="313" t="n">
        <v>110</v>
      </c>
      <c r="H19" s="313" t="n">
        <v>200</v>
      </c>
      <c r="I19" s="313" t="n">
        <v>150</v>
      </c>
      <c r="J19" s="313" t="n">
        <v>30</v>
      </c>
      <c r="K19" s="313" t="n">
        <v>22</v>
      </c>
      <c r="L19" s="2"/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60" hidden="false" customHeight="true" outlineLevel="0" collapsed="false">
      <c r="A21" s="2"/>
      <c r="B21" s="311" t="s">
        <v>5035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1"/>
    </row>
    <row r="22" customFormat="false" ht="30" hidden="false" customHeight="true" outlineLevel="0" collapsed="false">
      <c r="A22" s="2"/>
      <c r="B22" s="312" t="s">
        <v>5017</v>
      </c>
      <c r="C22" s="312" t="s">
        <v>5036</v>
      </c>
      <c r="D22" s="312" t="s">
        <v>5037</v>
      </c>
      <c r="E22" s="312" t="s">
        <v>5038</v>
      </c>
      <c r="F22" s="312" t="s">
        <v>5039</v>
      </c>
      <c r="G22" s="312" t="s">
        <v>5981</v>
      </c>
      <c r="H22" s="312" t="s">
        <v>5982</v>
      </c>
      <c r="I22" s="312" t="s">
        <v>5983</v>
      </c>
      <c r="J22" s="312" t="s">
        <v>5984</v>
      </c>
      <c r="K22" s="2"/>
      <c r="L22" s="2"/>
    </row>
    <row r="23" customFormat="false" ht="18" hidden="false" customHeight="true" outlineLevel="0" collapsed="false">
      <c r="A23" s="2"/>
      <c r="B23" s="313" t="s">
        <v>5023</v>
      </c>
      <c r="C23" s="313" t="n">
        <v>30</v>
      </c>
      <c r="D23" s="313" t="n">
        <v>5.5</v>
      </c>
      <c r="E23" s="313" t="n">
        <v>7.1</v>
      </c>
      <c r="F23" s="313" t="n">
        <v>5.5</v>
      </c>
      <c r="G23" s="313" t="n">
        <v>4</v>
      </c>
      <c r="H23" s="313" t="n">
        <v>4</v>
      </c>
      <c r="I23" s="313" t="n">
        <v>2.9</v>
      </c>
      <c r="J23" s="313" t="n">
        <v>2.9</v>
      </c>
      <c r="K23" s="2"/>
      <c r="L23" s="2"/>
    </row>
    <row r="24" customFormat="false" ht="18" hidden="false" customHeight="true" outlineLevel="0" collapsed="false">
      <c r="A24" s="2"/>
      <c r="B24" s="313" t="s">
        <v>5025</v>
      </c>
      <c r="C24" s="313" t="n">
        <v>30</v>
      </c>
      <c r="D24" s="313" t="n">
        <v>11.8</v>
      </c>
      <c r="E24" s="313" t="n">
        <v>11.8</v>
      </c>
      <c r="F24" s="313" t="n">
        <v>5.5</v>
      </c>
      <c r="G24" s="313" t="n">
        <v>4</v>
      </c>
      <c r="H24" s="313" t="n">
        <v>4</v>
      </c>
      <c r="I24" s="313" t="n">
        <v>2.9</v>
      </c>
      <c r="J24" s="313" t="n">
        <v>2.9</v>
      </c>
      <c r="K24" s="2"/>
      <c r="L24" s="2"/>
    </row>
    <row r="25" customFormat="false" ht="18" hidden="false" customHeight="true" outlineLevel="0" collapsed="false">
      <c r="A25" s="2"/>
      <c r="B25" s="313" t="s">
        <v>5025</v>
      </c>
      <c r="C25" s="313" t="n">
        <v>40</v>
      </c>
      <c r="D25" s="313" t="n">
        <v>11.8</v>
      </c>
      <c r="E25" s="313" t="n">
        <v>11.8</v>
      </c>
      <c r="F25" s="313" t="n">
        <v>8.5</v>
      </c>
      <c r="G25" s="313" t="n">
        <v>8.5</v>
      </c>
      <c r="H25" s="313" t="n">
        <v>8.5</v>
      </c>
      <c r="I25" s="313" t="n">
        <v>6.1</v>
      </c>
      <c r="J25" s="313" t="n">
        <v>6.1</v>
      </c>
      <c r="K25" s="2"/>
      <c r="L25" s="2"/>
    </row>
    <row r="26" customFormat="false" ht="18" hidden="false" customHeight="true" outlineLevel="0" collapsed="false">
      <c r="A26" s="2"/>
      <c r="B26" s="313" t="s">
        <v>5027</v>
      </c>
      <c r="C26" s="313" t="n">
        <v>40</v>
      </c>
      <c r="D26" s="313" t="n">
        <v>19.4</v>
      </c>
      <c r="E26" s="313" t="n">
        <v>19.4</v>
      </c>
      <c r="F26" s="313" t="n">
        <v>8.5</v>
      </c>
      <c r="G26" s="313" t="n">
        <v>8.5</v>
      </c>
      <c r="H26" s="313" t="n">
        <v>8.5</v>
      </c>
      <c r="I26" s="313" t="n">
        <v>6.1</v>
      </c>
      <c r="J26" s="313" t="n">
        <v>6.1</v>
      </c>
      <c r="K26" s="2"/>
      <c r="L26" s="2"/>
    </row>
    <row r="27" customFormat="false" ht="18" hidden="false" customHeight="true" outlineLevel="0" collapsed="false">
      <c r="A27" s="2"/>
      <c r="B27" s="313" t="s">
        <v>5027</v>
      </c>
      <c r="C27" s="313" t="n">
        <v>50</v>
      </c>
      <c r="D27" s="313" t="n">
        <v>19.4</v>
      </c>
      <c r="E27" s="313" t="n">
        <v>19.4</v>
      </c>
      <c r="F27" s="313" t="n">
        <v>11.9</v>
      </c>
      <c r="G27" s="313" t="n">
        <v>11.9</v>
      </c>
      <c r="H27" s="313" t="n">
        <v>11.9</v>
      </c>
      <c r="I27" s="313" t="n">
        <v>8.5</v>
      </c>
      <c r="J27" s="313" t="n">
        <v>8.5</v>
      </c>
      <c r="K27" s="2"/>
      <c r="L27" s="2"/>
    </row>
    <row r="28" customFormat="false" ht="18" hidden="false" customHeight="true" outlineLevel="0" collapsed="false">
      <c r="A28" s="2"/>
      <c r="B28" s="313" t="s">
        <v>5029</v>
      </c>
      <c r="C28" s="313" t="n">
        <v>50</v>
      </c>
      <c r="D28" s="313" t="n">
        <v>29.7</v>
      </c>
      <c r="E28" s="313" t="n">
        <v>29.7</v>
      </c>
      <c r="F28" s="313" t="n">
        <v>11.9</v>
      </c>
      <c r="G28" s="313" t="n">
        <v>11.9</v>
      </c>
      <c r="H28" s="313" t="n">
        <v>11.9</v>
      </c>
      <c r="I28" s="313" t="n">
        <v>8.5</v>
      </c>
      <c r="J28" s="313" t="n">
        <v>8.5</v>
      </c>
      <c r="K28" s="2"/>
      <c r="L28" s="2"/>
    </row>
    <row r="29" customFormat="false" ht="18" hidden="false" customHeight="true" outlineLevel="0" collapsed="false">
      <c r="A29" s="2"/>
      <c r="B29" s="313" t="s">
        <v>5029</v>
      </c>
      <c r="C29" s="313" t="n">
        <v>65</v>
      </c>
      <c r="D29" s="313" t="n">
        <v>29.7</v>
      </c>
      <c r="E29" s="313" t="n">
        <v>29.7</v>
      </c>
      <c r="F29" s="313" t="n">
        <v>17.6</v>
      </c>
      <c r="G29" s="313" t="n">
        <v>17.6</v>
      </c>
      <c r="H29" s="313" t="n">
        <v>17.6</v>
      </c>
      <c r="I29" s="313" t="n">
        <v>12.6</v>
      </c>
      <c r="J29" s="313" t="n">
        <v>12.6</v>
      </c>
      <c r="K29" s="2"/>
      <c r="L29" s="2"/>
    </row>
    <row r="30" customFormat="false" ht="18" hidden="false" customHeight="true" outlineLevel="0" collapsed="false">
      <c r="A30" s="2"/>
      <c r="B30" s="313" t="s">
        <v>5031</v>
      </c>
      <c r="C30" s="313" t="n">
        <v>65</v>
      </c>
      <c r="D30" s="313" t="n">
        <v>51.9</v>
      </c>
      <c r="E30" s="313" t="n">
        <v>55.7</v>
      </c>
      <c r="F30" s="313" t="n">
        <v>17.6</v>
      </c>
      <c r="G30" s="313" t="n">
        <v>17.6</v>
      </c>
      <c r="H30" s="313" t="n">
        <v>17.6</v>
      </c>
      <c r="I30" s="313" t="n">
        <v>12.6</v>
      </c>
      <c r="J30" s="313" t="n">
        <v>12.6</v>
      </c>
      <c r="K30" s="2"/>
      <c r="L30" s="2"/>
    </row>
    <row r="31" customFormat="false" ht="18" hidden="false" customHeight="true" outlineLevel="0" collapsed="false">
      <c r="A31" s="2"/>
      <c r="B31" s="313" t="s">
        <v>5031</v>
      </c>
      <c r="C31" s="313" t="n">
        <v>80</v>
      </c>
      <c r="D31" s="313" t="n">
        <v>51.9</v>
      </c>
      <c r="E31" s="313" t="n">
        <v>55.7</v>
      </c>
      <c r="F31" s="313" t="n">
        <v>24.1</v>
      </c>
      <c r="G31" s="313" t="n">
        <v>24.1</v>
      </c>
      <c r="H31" s="313" t="n">
        <v>24.1</v>
      </c>
      <c r="I31" s="313" t="n">
        <v>17.2</v>
      </c>
      <c r="J31" s="313" t="n">
        <v>17.2</v>
      </c>
      <c r="K31" s="2"/>
      <c r="L31" s="2"/>
    </row>
    <row r="32" customFormat="false" ht="18" hidden="false" customHeight="true" outlineLevel="0" collapsed="false">
      <c r="A32" s="2"/>
      <c r="B32" s="313" t="s">
        <v>5033</v>
      </c>
      <c r="C32" s="313" t="n">
        <v>80</v>
      </c>
      <c r="D32" s="313" t="n">
        <v>71.3</v>
      </c>
      <c r="E32" s="313" t="n">
        <v>74</v>
      </c>
      <c r="F32" s="313" t="n">
        <v>24.1</v>
      </c>
      <c r="G32" s="313" t="n">
        <v>24.1</v>
      </c>
      <c r="H32" s="313" t="n">
        <v>24.1</v>
      </c>
      <c r="I32" s="313" t="n">
        <v>17.2</v>
      </c>
      <c r="J32" s="313" t="n">
        <v>17.2</v>
      </c>
      <c r="K32" s="2"/>
      <c r="L32" s="2"/>
    </row>
    <row r="33" customFormat="false" ht="18" hidden="false" customHeight="true" outlineLevel="0" collapsed="false">
      <c r="A33" s="2"/>
      <c r="B33" s="313" t="s">
        <v>5033</v>
      </c>
      <c r="C33" s="313" t="n">
        <v>105</v>
      </c>
      <c r="D33" s="313" t="n">
        <v>71.3</v>
      </c>
      <c r="E33" s="313" t="n">
        <v>74</v>
      </c>
      <c r="F33" s="313" t="n">
        <v>36.2</v>
      </c>
      <c r="G33" s="313" t="n">
        <v>36.2</v>
      </c>
      <c r="H33" s="313" t="n">
        <v>36.2</v>
      </c>
      <c r="I33" s="313" t="n">
        <v>25.9</v>
      </c>
      <c r="J33" s="313" t="n">
        <v>25.9</v>
      </c>
      <c r="K33" s="2"/>
      <c r="L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customFormat="false" ht="45" hidden="false" customHeight="true" outlineLevel="0" collapsed="false">
      <c r="A35" s="2"/>
      <c r="B35" s="311" t="s">
        <v>5058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</row>
    <row r="36" customFormat="false" ht="30" hidden="false" customHeight="true" outlineLevel="0" collapsed="false">
      <c r="A36" s="2"/>
      <c r="B36" s="312" t="s">
        <v>5017</v>
      </c>
      <c r="C36" s="312" t="s">
        <v>5059</v>
      </c>
      <c r="D36" s="312" t="s">
        <v>5060</v>
      </c>
      <c r="E36" s="312" t="s">
        <v>5061</v>
      </c>
      <c r="F36" s="312" t="s">
        <v>5062</v>
      </c>
      <c r="G36" s="312" t="s">
        <v>5213</v>
      </c>
      <c r="H36" s="312" t="s">
        <v>5985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5023</v>
      </c>
      <c r="C37" s="313" t="n">
        <v>4.8</v>
      </c>
      <c r="D37" s="313" t="s">
        <v>524</v>
      </c>
      <c r="E37" s="313" t="n">
        <v>4.2</v>
      </c>
      <c r="F37" s="313" t="n">
        <v>3.4</v>
      </c>
      <c r="G37" s="313" t="n">
        <v>3</v>
      </c>
      <c r="H37" s="313" t="n">
        <v>1.4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5025</v>
      </c>
      <c r="C38" s="313" t="n">
        <v>10.6</v>
      </c>
      <c r="D38" s="313" t="n">
        <v>10.6</v>
      </c>
      <c r="E38" s="313" t="n">
        <v>10.2</v>
      </c>
      <c r="F38" s="313" t="n">
        <v>7.1</v>
      </c>
      <c r="G38" s="313" t="n">
        <v>7.1</v>
      </c>
      <c r="H38" s="313" t="n">
        <v>1.8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5027</v>
      </c>
      <c r="C39" s="313" t="n">
        <v>16.8</v>
      </c>
      <c r="D39" s="313" t="n">
        <v>16.8</v>
      </c>
      <c r="E39" s="313" t="n">
        <v>16.2</v>
      </c>
      <c r="F39" s="313" t="n">
        <v>7.6</v>
      </c>
      <c r="G39" s="313" t="n">
        <v>7.3</v>
      </c>
      <c r="H39" s="313" t="n">
        <v>2.1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5029</v>
      </c>
      <c r="C40" s="313" t="n">
        <v>25</v>
      </c>
      <c r="D40" s="313" t="n">
        <v>25</v>
      </c>
      <c r="E40" s="313" t="n">
        <v>21.9</v>
      </c>
      <c r="F40" s="313" t="n">
        <v>17.9</v>
      </c>
      <c r="G40" s="313" t="n">
        <v>15.7</v>
      </c>
      <c r="H40" s="313" t="n">
        <v>2.3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5031</v>
      </c>
      <c r="C41" s="313" t="n">
        <v>44.1</v>
      </c>
      <c r="D41" s="313" t="n">
        <v>44.1</v>
      </c>
      <c r="E41" s="313" t="n">
        <v>40.8</v>
      </c>
      <c r="F41" s="313" t="n">
        <v>31.5</v>
      </c>
      <c r="G41" s="313" t="n">
        <v>29.1</v>
      </c>
      <c r="H41" s="313" t="n">
        <v>2.3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5033</v>
      </c>
      <c r="C42" s="313" t="n">
        <v>53.6</v>
      </c>
      <c r="D42" s="313" t="n">
        <v>53.6</v>
      </c>
      <c r="E42" s="313" t="n">
        <v>68.8</v>
      </c>
      <c r="F42" s="313" t="n">
        <v>38.3</v>
      </c>
      <c r="G42" s="313" t="n">
        <v>49.1</v>
      </c>
      <c r="H42" s="313" t="n">
        <v>2.3</v>
      </c>
      <c r="I42" s="2"/>
      <c r="J42" s="2"/>
      <c r="K42" s="2"/>
      <c r="L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45" hidden="false" customHeight="true" outlineLevel="0" collapsed="false">
      <c r="A44" s="2"/>
      <c r="B44" s="311" t="s">
        <v>5077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</row>
    <row r="45" customFormat="false" ht="30" hidden="false" customHeight="true" outlineLevel="0" collapsed="false">
      <c r="A45" s="2"/>
      <c r="B45" s="312" t="s">
        <v>5017</v>
      </c>
      <c r="C45" s="312" t="s">
        <v>5036</v>
      </c>
      <c r="D45" s="312" t="s">
        <v>5078</v>
      </c>
      <c r="E45" s="312" t="s">
        <v>5079</v>
      </c>
      <c r="F45" s="312" t="s">
        <v>5080</v>
      </c>
      <c r="G45" s="312" t="s">
        <v>5986</v>
      </c>
      <c r="H45" s="312" t="s">
        <v>5987</v>
      </c>
      <c r="I45" s="312" t="s">
        <v>5988</v>
      </c>
      <c r="J45" s="312" t="s">
        <v>5989</v>
      </c>
      <c r="K45" s="2"/>
      <c r="L45" s="2"/>
    </row>
    <row r="46" customFormat="false" ht="18" hidden="false" customHeight="true" outlineLevel="0" collapsed="false">
      <c r="A46" s="2"/>
      <c r="B46" s="313" t="s">
        <v>5023</v>
      </c>
      <c r="C46" s="313" t="n">
        <v>30</v>
      </c>
      <c r="D46" s="313" t="n">
        <v>100</v>
      </c>
      <c r="E46" s="313" t="n">
        <v>90</v>
      </c>
      <c r="F46" s="313" t="n">
        <v>45</v>
      </c>
      <c r="G46" s="313" t="n">
        <v>130</v>
      </c>
      <c r="H46" s="313" t="n">
        <v>65</v>
      </c>
      <c r="I46" s="313" t="n">
        <v>40</v>
      </c>
      <c r="J46" s="313" t="n">
        <v>40</v>
      </c>
      <c r="K46" s="2"/>
      <c r="L46" s="2"/>
    </row>
    <row r="47" customFormat="false" ht="18" hidden="false" customHeight="true" outlineLevel="0" collapsed="false">
      <c r="A47" s="2"/>
      <c r="B47" s="313" t="s">
        <v>5025</v>
      </c>
      <c r="C47" s="313" t="n">
        <v>40</v>
      </c>
      <c r="D47" s="313" t="n">
        <v>100</v>
      </c>
      <c r="E47" s="313" t="n">
        <v>120</v>
      </c>
      <c r="F47" s="313" t="n">
        <v>60</v>
      </c>
      <c r="G47" s="313" t="n">
        <v>190</v>
      </c>
      <c r="H47" s="313" t="n">
        <v>95</v>
      </c>
      <c r="I47" s="313" t="n">
        <v>50</v>
      </c>
      <c r="J47" s="313" t="n">
        <v>45</v>
      </c>
      <c r="K47" s="2"/>
      <c r="L47" s="2"/>
    </row>
    <row r="48" customFormat="false" ht="18" hidden="false" customHeight="true" outlineLevel="0" collapsed="false">
      <c r="A48" s="2"/>
      <c r="B48" s="313" t="s">
        <v>5027</v>
      </c>
      <c r="C48" s="313" t="n">
        <v>50</v>
      </c>
      <c r="D48" s="313" t="n">
        <v>100</v>
      </c>
      <c r="E48" s="313" t="n">
        <v>150</v>
      </c>
      <c r="F48" s="313" t="n">
        <v>75</v>
      </c>
      <c r="G48" s="313" t="n">
        <v>200</v>
      </c>
      <c r="H48" s="313" t="n">
        <v>100</v>
      </c>
      <c r="I48" s="313" t="n">
        <v>70</v>
      </c>
      <c r="J48" s="313" t="n">
        <v>55</v>
      </c>
      <c r="K48" s="2"/>
      <c r="L48" s="2"/>
    </row>
    <row r="49" customFormat="false" ht="18" hidden="false" customHeight="true" outlineLevel="0" collapsed="false">
      <c r="A49" s="2"/>
      <c r="B49" s="313" t="s">
        <v>5029</v>
      </c>
      <c r="C49" s="313" t="n">
        <v>65</v>
      </c>
      <c r="D49" s="313" t="n">
        <v>120</v>
      </c>
      <c r="E49" s="313" t="n">
        <v>195</v>
      </c>
      <c r="F49" s="313" t="n">
        <v>98</v>
      </c>
      <c r="G49" s="313" t="n">
        <v>290</v>
      </c>
      <c r="H49" s="313" t="n">
        <v>145</v>
      </c>
      <c r="I49" s="313" t="n">
        <v>90</v>
      </c>
      <c r="J49" s="313" t="n">
        <v>80</v>
      </c>
      <c r="K49" s="2"/>
      <c r="L49" s="2"/>
    </row>
    <row r="50" customFormat="false" ht="18" hidden="false" customHeight="true" outlineLevel="0" collapsed="false">
      <c r="A50" s="2"/>
      <c r="B50" s="313" t="s">
        <v>5031</v>
      </c>
      <c r="C50" s="313" t="n">
        <v>80</v>
      </c>
      <c r="D50" s="313" t="n">
        <v>160</v>
      </c>
      <c r="E50" s="313" t="n">
        <v>240</v>
      </c>
      <c r="F50" s="313" t="n">
        <v>120</v>
      </c>
      <c r="G50" s="313" t="n">
        <v>350</v>
      </c>
      <c r="H50" s="313" t="n">
        <v>175</v>
      </c>
      <c r="I50" s="313" t="n">
        <v>120</v>
      </c>
      <c r="J50" s="313" t="n">
        <v>120</v>
      </c>
      <c r="K50" s="2"/>
      <c r="L50" s="2"/>
    </row>
    <row r="51" customFormat="false" ht="18" hidden="false" customHeight="true" outlineLevel="0" collapsed="false">
      <c r="A51" s="2"/>
      <c r="B51" s="313" t="s">
        <v>5033</v>
      </c>
      <c r="C51" s="313" t="n">
        <v>105</v>
      </c>
      <c r="D51" s="313" t="n">
        <v>200</v>
      </c>
      <c r="E51" s="313" t="n">
        <v>315</v>
      </c>
      <c r="F51" s="313" t="n">
        <v>158</v>
      </c>
      <c r="G51" s="313" t="n">
        <v>370</v>
      </c>
      <c r="H51" s="313" t="n">
        <v>185</v>
      </c>
      <c r="I51" s="313" t="n">
        <v>140</v>
      </c>
      <c r="J51" s="313" t="n">
        <v>120</v>
      </c>
      <c r="K51" s="2"/>
      <c r="L51" s="2"/>
    </row>
    <row r="52" customFormat="false" ht="1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customFormat="false" ht="60" hidden="false" customHeight="true" outlineLevel="0" collapsed="false">
      <c r="A53" s="2"/>
      <c r="B53" s="311" t="s">
        <v>5089</v>
      </c>
      <c r="C53" s="311"/>
      <c r="D53" s="311"/>
      <c r="E53" s="311"/>
      <c r="F53" s="311"/>
      <c r="G53" s="311"/>
      <c r="H53" s="311"/>
      <c r="I53" s="311"/>
      <c r="J53" s="311"/>
      <c r="K53" s="311"/>
      <c r="L53" s="311"/>
    </row>
    <row r="54" customFormat="false" ht="45" hidden="false" customHeight="true" outlineLevel="0" collapsed="false">
      <c r="A54" s="2"/>
      <c r="B54" s="312" t="s">
        <v>4998</v>
      </c>
      <c r="C54" s="312" t="s">
        <v>5017</v>
      </c>
      <c r="D54" s="312" t="s">
        <v>5090</v>
      </c>
      <c r="E54" s="312" t="s">
        <v>5091</v>
      </c>
      <c r="F54" s="312" t="s">
        <v>5092</v>
      </c>
      <c r="G54" s="312" t="s">
        <v>5990</v>
      </c>
      <c r="H54" s="312" t="s">
        <v>5991</v>
      </c>
      <c r="I54" s="2"/>
      <c r="J54" s="2"/>
      <c r="K54" s="2"/>
      <c r="L54" s="2"/>
    </row>
    <row r="55" customFormat="false" ht="18" hidden="false" customHeight="true" outlineLevel="0" collapsed="false">
      <c r="A55" s="2"/>
      <c r="B55" s="313" t="s">
        <v>5094</v>
      </c>
      <c r="C55" s="313" t="s">
        <v>5025</v>
      </c>
      <c r="D55" s="313" t="s">
        <v>5095</v>
      </c>
      <c r="E55" s="313" t="n">
        <v>66</v>
      </c>
      <c r="F55" s="313" t="n">
        <v>5</v>
      </c>
      <c r="G55" s="313" t="n">
        <v>15</v>
      </c>
      <c r="H55" s="313" t="n">
        <v>15</v>
      </c>
      <c r="I55" s="2"/>
      <c r="J55" s="2"/>
      <c r="K55" s="2"/>
      <c r="L55" s="2"/>
    </row>
    <row r="56" customFormat="false" ht="18" hidden="false" customHeight="true" outlineLevel="0" collapsed="false">
      <c r="A56" s="2"/>
      <c r="B56" s="313" t="s">
        <v>5097</v>
      </c>
      <c r="C56" s="313" t="s">
        <v>5025</v>
      </c>
      <c r="D56" s="313" t="s">
        <v>5095</v>
      </c>
      <c r="E56" s="313" t="n">
        <v>71</v>
      </c>
      <c r="F56" s="313" t="n">
        <v>10</v>
      </c>
      <c r="G56" s="313" t="n">
        <v>20</v>
      </c>
      <c r="H56" s="313" t="n">
        <v>15</v>
      </c>
      <c r="I56" s="2"/>
      <c r="J56" s="2"/>
      <c r="K56" s="2"/>
      <c r="L56" s="2"/>
    </row>
    <row r="57" customFormat="false" ht="18" hidden="false" customHeight="true" outlineLevel="0" collapsed="false">
      <c r="A57" s="2"/>
      <c r="B57" s="313" t="s">
        <v>5099</v>
      </c>
      <c r="C57" s="313" t="s">
        <v>5025</v>
      </c>
      <c r="D57" s="313" t="s">
        <v>5095</v>
      </c>
      <c r="E57" s="313" t="n">
        <v>81</v>
      </c>
      <c r="F57" s="313" t="n">
        <v>20</v>
      </c>
      <c r="G57" s="313" t="n">
        <v>30</v>
      </c>
      <c r="H57" s="313" t="n">
        <v>15</v>
      </c>
      <c r="I57" s="2"/>
      <c r="J57" s="2"/>
      <c r="K57" s="2"/>
      <c r="L57" s="2"/>
    </row>
    <row r="58" customFormat="false" ht="18" hidden="false" customHeight="true" outlineLevel="0" collapsed="false">
      <c r="A58" s="2"/>
      <c r="B58" s="313" t="s">
        <v>5101</v>
      </c>
      <c r="C58" s="313" t="s">
        <v>5025</v>
      </c>
      <c r="D58" s="313" t="s">
        <v>5095</v>
      </c>
      <c r="E58" s="313" t="n">
        <v>111</v>
      </c>
      <c r="F58" s="313" t="n">
        <v>50</v>
      </c>
      <c r="G58" s="313" t="n">
        <v>60</v>
      </c>
      <c r="H58" s="313" t="n">
        <v>15</v>
      </c>
      <c r="I58" s="2"/>
      <c r="J58" s="2"/>
      <c r="K58" s="2"/>
      <c r="L58" s="2"/>
    </row>
    <row r="59" customFormat="false" ht="18" hidden="false" customHeight="true" outlineLevel="0" collapsed="false">
      <c r="A59" s="2"/>
      <c r="B59" s="313" t="s">
        <v>5104</v>
      </c>
      <c r="C59" s="313" t="s">
        <v>5025</v>
      </c>
      <c r="D59" s="313" t="s">
        <v>5095</v>
      </c>
      <c r="E59" s="313" t="n">
        <v>161</v>
      </c>
      <c r="F59" s="313" t="n">
        <v>100</v>
      </c>
      <c r="G59" s="313" t="n">
        <v>110</v>
      </c>
      <c r="H59" s="313" t="n">
        <v>15</v>
      </c>
      <c r="I59" s="2"/>
      <c r="J59" s="2"/>
      <c r="K59" s="2"/>
      <c r="L59" s="2"/>
    </row>
    <row r="60" customFormat="false" ht="18" hidden="false" customHeight="true" outlineLevel="0" collapsed="false">
      <c r="A60" s="2"/>
      <c r="B60" s="313" t="s">
        <v>5107</v>
      </c>
      <c r="C60" s="313" t="s">
        <v>5027</v>
      </c>
      <c r="D60" s="313" t="s">
        <v>5108</v>
      </c>
      <c r="E60" s="313" t="n">
        <v>86</v>
      </c>
      <c r="F60" s="313" t="n">
        <v>10</v>
      </c>
      <c r="G60" s="313" t="n">
        <v>20</v>
      </c>
      <c r="H60" s="313" t="n">
        <v>30</v>
      </c>
      <c r="I60" s="2"/>
      <c r="J60" s="2"/>
      <c r="K60" s="2"/>
      <c r="L60" s="2"/>
    </row>
    <row r="61" customFormat="false" ht="18" hidden="false" customHeight="true" outlineLevel="0" collapsed="false">
      <c r="A61" s="2"/>
      <c r="B61" s="313" t="s">
        <v>5111</v>
      </c>
      <c r="C61" s="313" t="s">
        <v>5027</v>
      </c>
      <c r="D61" s="313" t="s">
        <v>5108</v>
      </c>
      <c r="E61" s="313" t="n">
        <v>106</v>
      </c>
      <c r="F61" s="313" t="n">
        <v>30</v>
      </c>
      <c r="G61" s="313" t="n">
        <v>40</v>
      </c>
      <c r="H61" s="313" t="n">
        <v>30</v>
      </c>
      <c r="I61" s="2"/>
      <c r="J61" s="2"/>
      <c r="K61" s="2"/>
      <c r="L61" s="2"/>
    </row>
    <row r="62" customFormat="false" ht="18" hidden="false" customHeight="true" outlineLevel="0" collapsed="false">
      <c r="A62" s="2"/>
      <c r="B62" s="313" t="s">
        <v>5113</v>
      </c>
      <c r="C62" s="313" t="s">
        <v>5027</v>
      </c>
      <c r="D62" s="313" t="s">
        <v>5108</v>
      </c>
      <c r="E62" s="313" t="n">
        <v>126</v>
      </c>
      <c r="F62" s="313" t="n">
        <v>50</v>
      </c>
      <c r="G62" s="313" t="n">
        <v>60</v>
      </c>
      <c r="H62" s="313" t="n">
        <v>30</v>
      </c>
      <c r="I62" s="2"/>
      <c r="J62" s="2"/>
      <c r="K62" s="2"/>
      <c r="L62" s="2"/>
    </row>
    <row r="63" customFormat="false" ht="18" hidden="false" customHeight="true" outlineLevel="0" collapsed="false">
      <c r="A63" s="2"/>
      <c r="B63" s="313" t="s">
        <v>5116</v>
      </c>
      <c r="C63" s="313" t="s">
        <v>5027</v>
      </c>
      <c r="D63" s="313" t="s">
        <v>5108</v>
      </c>
      <c r="E63" s="313" t="n">
        <v>176</v>
      </c>
      <c r="F63" s="313" t="n">
        <v>100</v>
      </c>
      <c r="G63" s="313" t="n">
        <v>110</v>
      </c>
      <c r="H63" s="313" t="n">
        <v>30</v>
      </c>
      <c r="I63" s="2"/>
      <c r="J63" s="2"/>
      <c r="K63" s="2"/>
      <c r="L63" s="2"/>
    </row>
    <row r="64" customFormat="false" ht="18" hidden="false" customHeight="true" outlineLevel="0" collapsed="false">
      <c r="A64" s="2"/>
      <c r="B64" s="313" t="s">
        <v>5119</v>
      </c>
      <c r="C64" s="313" t="s">
        <v>5029</v>
      </c>
      <c r="D64" s="313" t="s">
        <v>5120</v>
      </c>
      <c r="E64" s="313" t="n">
        <v>106</v>
      </c>
      <c r="F64" s="313" t="n">
        <v>10</v>
      </c>
      <c r="G64" s="313" t="n">
        <v>25</v>
      </c>
      <c r="H64" s="313" t="n">
        <v>50</v>
      </c>
      <c r="I64" s="2"/>
      <c r="J64" s="2"/>
      <c r="K64" s="2"/>
      <c r="L64" s="2"/>
    </row>
    <row r="65" customFormat="false" ht="18" hidden="false" customHeight="true" outlineLevel="0" collapsed="false">
      <c r="A65" s="2"/>
      <c r="B65" s="313" t="s">
        <v>5122</v>
      </c>
      <c r="C65" s="313" t="s">
        <v>5029</v>
      </c>
      <c r="D65" s="313" t="s">
        <v>5120</v>
      </c>
      <c r="E65" s="313" t="n">
        <v>126</v>
      </c>
      <c r="F65" s="313" t="n">
        <v>30</v>
      </c>
      <c r="G65" s="313" t="n">
        <v>45</v>
      </c>
      <c r="H65" s="313" t="n">
        <v>50</v>
      </c>
      <c r="I65" s="2"/>
      <c r="J65" s="2"/>
      <c r="K65" s="2"/>
      <c r="L65" s="2"/>
    </row>
    <row r="66" customFormat="false" ht="18" hidden="false" customHeight="true" outlineLevel="0" collapsed="false">
      <c r="A66" s="2"/>
      <c r="B66" s="313" t="s">
        <v>5124</v>
      </c>
      <c r="C66" s="313" t="s">
        <v>5029</v>
      </c>
      <c r="D66" s="313" t="s">
        <v>5120</v>
      </c>
      <c r="E66" s="313" t="n">
        <v>146</v>
      </c>
      <c r="F66" s="313" t="n">
        <v>50</v>
      </c>
      <c r="G66" s="313" t="n">
        <v>65</v>
      </c>
      <c r="H66" s="313" t="n">
        <v>50</v>
      </c>
      <c r="I66" s="2"/>
      <c r="J66" s="2"/>
      <c r="K66" s="2"/>
      <c r="L66" s="2"/>
    </row>
    <row r="67" customFormat="false" ht="18" hidden="false" customHeight="true" outlineLevel="0" collapsed="false">
      <c r="A67" s="2"/>
      <c r="B67" s="313" t="s">
        <v>5127</v>
      </c>
      <c r="C67" s="313" t="s">
        <v>5029</v>
      </c>
      <c r="D67" s="313" t="s">
        <v>5120</v>
      </c>
      <c r="E67" s="313" t="n">
        <v>196</v>
      </c>
      <c r="F67" s="313" t="n">
        <v>100</v>
      </c>
      <c r="G67" s="313" t="n">
        <v>115</v>
      </c>
      <c r="H67" s="313" t="n">
        <v>50</v>
      </c>
      <c r="I67" s="2"/>
      <c r="J67" s="2"/>
      <c r="K67" s="2"/>
      <c r="L67" s="2"/>
    </row>
    <row r="68" customFormat="false" ht="18" hidden="false" customHeight="true" outlineLevel="0" collapsed="false">
      <c r="A68" s="2"/>
      <c r="B68" s="313" t="s">
        <v>5130</v>
      </c>
      <c r="C68" s="313" t="s">
        <v>5031</v>
      </c>
      <c r="D68" s="313" t="s">
        <v>5131</v>
      </c>
      <c r="E68" s="313" t="n">
        <v>145</v>
      </c>
      <c r="F68" s="313" t="n">
        <v>25</v>
      </c>
      <c r="G68" s="313" t="n">
        <v>40</v>
      </c>
      <c r="H68" s="313" t="n">
        <v>100</v>
      </c>
      <c r="I68" s="2"/>
      <c r="J68" s="2"/>
      <c r="K68" s="2"/>
      <c r="L68" s="2"/>
    </row>
    <row r="69" customFormat="false" ht="18" hidden="false" customHeight="true" outlineLevel="0" collapsed="false">
      <c r="A69" s="2"/>
      <c r="B69" s="313" t="s">
        <v>5133</v>
      </c>
      <c r="C69" s="313" t="s">
        <v>5031</v>
      </c>
      <c r="D69" s="313" t="s">
        <v>5131</v>
      </c>
      <c r="E69" s="313" t="n">
        <v>170</v>
      </c>
      <c r="F69" s="313" t="n">
        <v>50</v>
      </c>
      <c r="G69" s="313" t="n">
        <v>65</v>
      </c>
      <c r="H69" s="313" t="n">
        <v>100</v>
      </c>
      <c r="I69" s="2"/>
      <c r="J69" s="2"/>
      <c r="K69" s="2"/>
      <c r="L69" s="2"/>
    </row>
    <row r="70" customFormat="false" ht="18" hidden="false" customHeight="true" outlineLevel="0" collapsed="false">
      <c r="A70" s="2"/>
      <c r="B70" s="313" t="s">
        <v>5135</v>
      </c>
      <c r="C70" s="313" t="s">
        <v>5031</v>
      </c>
      <c r="D70" s="313" t="s">
        <v>5131</v>
      </c>
      <c r="E70" s="313" t="n">
        <v>220</v>
      </c>
      <c r="F70" s="313" t="n">
        <v>100</v>
      </c>
      <c r="G70" s="313" t="n">
        <v>115</v>
      </c>
      <c r="H70" s="313" t="n">
        <v>100</v>
      </c>
      <c r="I70" s="2"/>
      <c r="J70" s="2"/>
      <c r="K70" s="2"/>
      <c r="L70" s="2"/>
    </row>
    <row r="71" customFormat="false" ht="18" hidden="false" customHeight="true" outlineLevel="0" collapsed="false">
      <c r="A71" s="2"/>
      <c r="B71" s="313" t="s">
        <v>5137</v>
      </c>
      <c r="C71" s="313" t="s">
        <v>5031</v>
      </c>
      <c r="D71" s="313" t="s">
        <v>5131</v>
      </c>
      <c r="E71" s="313" t="n">
        <v>320</v>
      </c>
      <c r="F71" s="313" t="n">
        <v>200</v>
      </c>
      <c r="G71" s="313" t="n">
        <v>215</v>
      </c>
      <c r="H71" s="313" t="n">
        <v>100</v>
      </c>
      <c r="I71" s="2"/>
      <c r="J71" s="2"/>
      <c r="K71" s="2"/>
      <c r="L71" s="2"/>
    </row>
    <row r="72" customFormat="false" ht="18" hidden="false" customHeight="true" outlineLevel="0" collapsed="false">
      <c r="A72" s="2"/>
      <c r="B72" s="313" t="s">
        <v>5140</v>
      </c>
      <c r="C72" s="313" t="s">
        <v>5033</v>
      </c>
      <c r="D72" s="313" t="s">
        <v>5141</v>
      </c>
      <c r="E72" s="313" t="n">
        <v>184</v>
      </c>
      <c r="F72" s="313" t="n">
        <v>30</v>
      </c>
      <c r="G72" s="313" t="n">
        <v>55</v>
      </c>
      <c r="H72" s="313" t="n">
        <v>200</v>
      </c>
      <c r="I72" s="2"/>
      <c r="J72" s="2"/>
      <c r="K72" s="2"/>
      <c r="L72" s="2"/>
    </row>
    <row r="73" customFormat="false" ht="18" hidden="false" customHeight="true" outlineLevel="0" collapsed="false">
      <c r="A73" s="2"/>
      <c r="B73" s="313" t="s">
        <v>5144</v>
      </c>
      <c r="C73" s="313" t="s">
        <v>5033</v>
      </c>
      <c r="D73" s="313" t="s">
        <v>5141</v>
      </c>
      <c r="E73" s="313" t="n">
        <v>214</v>
      </c>
      <c r="F73" s="313" t="n">
        <v>60</v>
      </c>
      <c r="G73" s="313" t="n">
        <v>85</v>
      </c>
      <c r="H73" s="313" t="n">
        <v>200</v>
      </c>
      <c r="I73" s="2"/>
      <c r="J73" s="2"/>
      <c r="K73" s="2"/>
      <c r="L73" s="2"/>
    </row>
    <row r="74" customFormat="false" ht="18" hidden="false" customHeight="true" outlineLevel="0" collapsed="false">
      <c r="A74" s="2"/>
      <c r="B74" s="313" t="s">
        <v>5147</v>
      </c>
      <c r="C74" s="313" t="s">
        <v>5033</v>
      </c>
      <c r="D74" s="313" t="s">
        <v>5141</v>
      </c>
      <c r="E74" s="313" t="n">
        <v>274</v>
      </c>
      <c r="F74" s="313" t="n">
        <v>120</v>
      </c>
      <c r="G74" s="313" t="n">
        <v>145</v>
      </c>
      <c r="H74" s="313" t="n">
        <v>200</v>
      </c>
      <c r="I74" s="2"/>
      <c r="J74" s="2"/>
      <c r="K74" s="2"/>
      <c r="L74" s="2"/>
    </row>
    <row r="75" customFormat="false" ht="1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customFormat="false" ht="30" hidden="false" customHeight="true" outlineLevel="0" collapsed="false">
      <c r="A76" s="2"/>
      <c r="B76" s="311" t="s">
        <v>5150</v>
      </c>
      <c r="C76" s="311"/>
      <c r="D76" s="311"/>
      <c r="E76" s="311"/>
      <c r="F76" s="311"/>
      <c r="G76" s="311"/>
      <c r="H76" s="311"/>
      <c r="I76" s="311"/>
      <c r="J76" s="311"/>
      <c r="K76" s="311"/>
      <c r="L76" s="311"/>
    </row>
    <row r="77" customFormat="false" ht="60" hidden="false" customHeight="true" outlineLevel="0" collapsed="false">
      <c r="A77" s="2"/>
      <c r="B77" s="314" t="s">
        <v>5151</v>
      </c>
      <c r="C77" s="314"/>
      <c r="D77" s="314"/>
      <c r="E77" s="314"/>
      <c r="F77" s="314"/>
      <c r="G77" s="314"/>
      <c r="H77" s="314"/>
      <c r="I77" s="314"/>
      <c r="J77" s="314"/>
      <c r="K77" s="314"/>
      <c r="L77" s="314"/>
    </row>
    <row r="78" customFormat="false" ht="45" hidden="false" customHeight="true" outlineLevel="0" collapsed="false">
      <c r="A78" s="2"/>
      <c r="B78" s="314" t="s">
        <v>5152</v>
      </c>
      <c r="C78" s="314"/>
      <c r="D78" s="314"/>
      <c r="E78" s="314"/>
      <c r="F78" s="314"/>
      <c r="G78" s="314"/>
      <c r="H78" s="314"/>
      <c r="I78" s="314"/>
      <c r="J78" s="314"/>
      <c r="K78" s="314"/>
      <c r="L78" s="314"/>
    </row>
    <row r="79" customFormat="false" ht="60" hidden="false" customHeight="true" outlineLevel="0" collapsed="false">
      <c r="A79" s="2"/>
      <c r="B79" s="314" t="s">
        <v>5153</v>
      </c>
      <c r="C79" s="314"/>
      <c r="D79" s="314"/>
      <c r="E79" s="314"/>
      <c r="F79" s="314"/>
      <c r="G79" s="314"/>
      <c r="H79" s="314"/>
      <c r="I79" s="314"/>
      <c r="J79" s="314"/>
      <c r="K79" s="314"/>
      <c r="L79" s="314"/>
    </row>
    <row r="80" customFormat="false" ht="45" hidden="false" customHeight="true" outlineLevel="0" collapsed="false">
      <c r="A80" s="2"/>
      <c r="B80" s="314" t="s">
        <v>5154</v>
      </c>
      <c r="C80" s="314"/>
      <c r="D80" s="314"/>
      <c r="E80" s="314"/>
      <c r="F80" s="314"/>
      <c r="G80" s="314"/>
      <c r="H80" s="314"/>
      <c r="I80" s="314"/>
      <c r="J80" s="314"/>
      <c r="K80" s="314"/>
      <c r="L80" s="314"/>
    </row>
    <row r="81" customFormat="false" ht="45" hidden="false" customHeight="true" outlineLevel="0" collapsed="false">
      <c r="A81" s="2"/>
      <c r="B81" s="314" t="s">
        <v>5155</v>
      </c>
      <c r="C81" s="314"/>
      <c r="D81" s="314"/>
      <c r="E81" s="314"/>
      <c r="F81" s="314"/>
      <c r="G81" s="314"/>
      <c r="H81" s="314"/>
      <c r="I81" s="314"/>
      <c r="J81" s="314"/>
      <c r="K81" s="314"/>
      <c r="L81" s="314"/>
    </row>
    <row r="82" customFormat="false" ht="60" hidden="false" customHeight="true" outlineLevel="0" collapsed="false">
      <c r="A82" s="2"/>
      <c r="B82" s="314" t="s">
        <v>5156</v>
      </c>
      <c r="C82" s="314"/>
      <c r="D82" s="314"/>
      <c r="E82" s="314"/>
      <c r="F82" s="314"/>
      <c r="G82" s="314"/>
      <c r="H82" s="314"/>
      <c r="I82" s="314"/>
      <c r="J82" s="314"/>
      <c r="K82" s="314"/>
      <c r="L82" s="314"/>
    </row>
    <row r="83" customFormat="false" ht="1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customFormat="false" ht="60" hidden="false" customHeight="true" outlineLevel="0" collapsed="false">
      <c r="A84" s="2"/>
      <c r="B84" s="60" t="s">
        <v>5157</v>
      </c>
      <c r="C84" s="2"/>
      <c r="D84" s="2"/>
      <c r="E84" s="2"/>
      <c r="F84" s="2"/>
      <c r="G84" s="2"/>
      <c r="H84" s="2"/>
      <c r="I84" s="2"/>
      <c r="J84" s="2"/>
      <c r="K84" s="2"/>
      <c r="L84" s="2"/>
    </row>
  </sheetData>
  <mergeCells count="16">
    <mergeCell ref="B2:L2"/>
    <mergeCell ref="B3:L3"/>
    <mergeCell ref="B4:L4"/>
    <mergeCell ref="B6:L6"/>
    <mergeCell ref="B12:L12"/>
    <mergeCell ref="B21:L21"/>
    <mergeCell ref="B35:L35"/>
    <mergeCell ref="B44:L44"/>
    <mergeCell ref="B53:L53"/>
    <mergeCell ref="B76:L76"/>
    <mergeCell ref="B77:L77"/>
    <mergeCell ref="B78:L78"/>
    <mergeCell ref="B79:L79"/>
    <mergeCell ref="B80:L80"/>
    <mergeCell ref="B81:L81"/>
    <mergeCell ref="B82:L82"/>
  </mergeCells>
  <conditionalFormatting sqref="D23:D33">
    <cfRule type="dataBar" priority="2">
      <dataBar showValue="1" minLength="10" maxLength="90">
        <cfvo type="min" val="0"/>
        <cfvo type="max" val="0"/>
        <color rgb="FFB22222"/>
      </dataBar>
      <extLst>
        <ext xmlns:x14="http://schemas.microsoft.com/office/spreadsheetml/2009/9/main" uri="{B025F937-C7B1-47D3-B67F-A62EFF666E3E}">
          <x14:id>{65A5CA57-E392-45B6-8E23-651EE17A4CE4}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A5CA57-E392-45B6-8E23-651EE17A4CE4}">
            <x14:dataBar minLength="10" maxLength="90" axisPosition="none" gradient="true">
              <x14:cfvo type="min"/>
              <x14:cfvo type="max"/>
              <x14:negativeFillColor rgb="FFB22222"/>
              <x14:axisColor rgb="FF000000"/>
            </x14:dataBar>
          </x14:cfRule>
          <xm:sqref>D23:D33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299" t="s">
        <v>5158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90" hidden="false" customHeight="true" outlineLevel="0" collapsed="false">
      <c r="A3" s="2"/>
      <c r="B3" s="4" t="s">
        <v>5159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5160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4997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4523</v>
      </c>
      <c r="C7" s="312" t="s">
        <v>4998</v>
      </c>
      <c r="D7" s="312" t="s">
        <v>4999</v>
      </c>
      <c r="E7" s="312" t="s">
        <v>5000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13" t="s">
        <v>5002</v>
      </c>
      <c r="C8" s="313" t="s">
        <v>5161</v>
      </c>
      <c r="D8" s="313" t="s">
        <v>5004</v>
      </c>
      <c r="E8" s="313" t="s">
        <v>5005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13" t="s">
        <v>5007</v>
      </c>
      <c r="C9" s="313" t="s">
        <v>5163</v>
      </c>
      <c r="D9" s="313" t="s">
        <v>5009</v>
      </c>
      <c r="E9" s="313" t="s">
        <v>5164</v>
      </c>
      <c r="F9" s="2"/>
      <c r="G9" s="2"/>
      <c r="H9" s="2"/>
      <c r="I9" s="2"/>
      <c r="J9" s="2"/>
      <c r="K9" s="2"/>
      <c r="L9" s="2"/>
    </row>
    <row r="10" customFormat="false" ht="30" hidden="false" customHeight="true" outlineLevel="0" collapsed="false">
      <c r="A10" s="2"/>
      <c r="B10" s="313" t="s">
        <v>5166</v>
      </c>
      <c r="C10" s="313" t="s">
        <v>5167</v>
      </c>
      <c r="D10" s="313" t="s">
        <v>5009</v>
      </c>
      <c r="E10" s="313" t="s">
        <v>5168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13" t="s">
        <v>5170</v>
      </c>
      <c r="C11" s="313" t="s">
        <v>5171</v>
      </c>
      <c r="D11" s="313" t="s">
        <v>5172</v>
      </c>
      <c r="E11" s="313" t="s">
        <v>5173</v>
      </c>
      <c r="F11" s="2"/>
      <c r="G11" s="2"/>
      <c r="H11" s="2"/>
      <c r="I11" s="2"/>
      <c r="J11" s="2"/>
      <c r="K11" s="2"/>
      <c r="L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45" hidden="false" customHeight="true" outlineLevel="0" collapsed="false">
      <c r="A13" s="2"/>
      <c r="B13" s="311" t="s">
        <v>5175</v>
      </c>
      <c r="C13" s="311"/>
      <c r="D13" s="311"/>
      <c r="E13" s="311"/>
      <c r="F13" s="311"/>
      <c r="G13" s="311"/>
      <c r="H13" s="311"/>
      <c r="I13" s="311"/>
      <c r="J13" s="311"/>
      <c r="K13" s="311"/>
      <c r="L13" s="311"/>
    </row>
    <row r="14" customFormat="false" ht="30" hidden="false" customHeight="true" outlineLevel="0" collapsed="false">
      <c r="A14" s="2"/>
      <c r="B14" s="312" t="s">
        <v>5017</v>
      </c>
      <c r="C14" s="312" t="s">
        <v>5018</v>
      </c>
      <c r="D14" s="312" t="s">
        <v>5176</v>
      </c>
      <c r="E14" s="312" t="s">
        <v>5177</v>
      </c>
      <c r="F14" s="312" t="s">
        <v>5078</v>
      </c>
      <c r="G14" s="312" t="s">
        <v>5977</v>
      </c>
      <c r="H14" s="312" t="s">
        <v>5978</v>
      </c>
      <c r="I14" s="312" t="s">
        <v>5979</v>
      </c>
      <c r="J14" s="312" t="s">
        <v>5980</v>
      </c>
      <c r="K14" s="2"/>
      <c r="L14" s="2"/>
    </row>
    <row r="15" customFormat="false" ht="18" hidden="false" customHeight="true" outlineLevel="0" collapsed="false">
      <c r="A15" s="2"/>
      <c r="B15" s="313" t="s">
        <v>5023</v>
      </c>
      <c r="C15" s="313" t="n">
        <v>6</v>
      </c>
      <c r="D15" s="313" t="n">
        <v>25</v>
      </c>
      <c r="E15" s="313" t="n">
        <v>45</v>
      </c>
      <c r="F15" s="313" t="n">
        <v>80</v>
      </c>
      <c r="G15" s="313" t="n">
        <v>5</v>
      </c>
      <c r="H15" s="313" t="n">
        <v>5</v>
      </c>
      <c r="I15" s="313" t="n">
        <v>10</v>
      </c>
      <c r="J15" s="313" t="n">
        <v>7</v>
      </c>
      <c r="K15" s="2"/>
      <c r="L15" s="2"/>
    </row>
    <row r="16" customFormat="false" ht="18" hidden="false" customHeight="true" outlineLevel="0" collapsed="false">
      <c r="A16" s="2"/>
      <c r="B16" s="313" t="s">
        <v>5025</v>
      </c>
      <c r="C16" s="313" t="n">
        <v>8</v>
      </c>
      <c r="D16" s="313" t="n">
        <v>35</v>
      </c>
      <c r="E16" s="313" t="n">
        <v>90</v>
      </c>
      <c r="F16" s="313" t="n">
        <v>100</v>
      </c>
      <c r="G16" s="313" t="n">
        <v>15</v>
      </c>
      <c r="H16" s="313" t="n">
        <v>10</v>
      </c>
      <c r="I16" s="313" t="n">
        <v>13</v>
      </c>
      <c r="J16" s="313" t="n">
        <v>9</v>
      </c>
      <c r="K16" s="2"/>
      <c r="L16" s="2"/>
    </row>
    <row r="17" customFormat="false" ht="18" hidden="false" customHeight="true" outlineLevel="0" collapsed="false">
      <c r="A17" s="2"/>
      <c r="B17" s="313" t="s">
        <v>5027</v>
      </c>
      <c r="C17" s="313" t="n">
        <v>10</v>
      </c>
      <c r="D17" s="313" t="n">
        <v>40</v>
      </c>
      <c r="E17" s="313" t="n">
        <v>100</v>
      </c>
      <c r="F17" s="313" t="n">
        <v>100</v>
      </c>
      <c r="G17" s="313" t="n">
        <v>40</v>
      </c>
      <c r="H17" s="313" t="n">
        <v>30</v>
      </c>
      <c r="I17" s="313" t="n">
        <v>17</v>
      </c>
      <c r="J17" s="313" t="n">
        <v>12</v>
      </c>
      <c r="K17" s="2"/>
      <c r="L17" s="2"/>
    </row>
    <row r="18" customFormat="false" ht="18" hidden="false" customHeight="true" outlineLevel="0" collapsed="false">
      <c r="A18" s="2"/>
      <c r="B18" s="313" t="s">
        <v>5029</v>
      </c>
      <c r="C18" s="313" t="n">
        <v>12</v>
      </c>
      <c r="D18" s="313" t="n">
        <v>50</v>
      </c>
      <c r="E18" s="313" t="n">
        <v>125</v>
      </c>
      <c r="F18" s="313" t="n">
        <v>110</v>
      </c>
      <c r="G18" s="313" t="n">
        <v>60</v>
      </c>
      <c r="H18" s="313" t="n">
        <v>40</v>
      </c>
      <c r="I18" s="313" t="n">
        <v>19</v>
      </c>
      <c r="J18" s="313" t="n">
        <v>14</v>
      </c>
      <c r="K18" s="2"/>
      <c r="L18" s="2"/>
    </row>
    <row r="19" customFormat="false" ht="18" hidden="false" customHeight="true" outlineLevel="0" collapsed="false">
      <c r="A19" s="2"/>
      <c r="B19" s="313" t="s">
        <v>5031</v>
      </c>
      <c r="C19" s="313" t="n">
        <v>16</v>
      </c>
      <c r="D19" s="313" t="n">
        <v>65</v>
      </c>
      <c r="E19" s="313" t="n">
        <v>160</v>
      </c>
      <c r="F19" s="313" t="n">
        <v>140</v>
      </c>
      <c r="G19" s="313" t="n">
        <v>100</v>
      </c>
      <c r="H19" s="313" t="n">
        <v>80</v>
      </c>
      <c r="I19" s="313" t="n">
        <v>24</v>
      </c>
      <c r="J19" s="313" t="n">
        <v>18</v>
      </c>
      <c r="K19" s="2"/>
      <c r="L19" s="2"/>
    </row>
    <row r="20" customFormat="false" ht="18" hidden="false" customHeight="true" outlineLevel="0" collapsed="false">
      <c r="A20" s="2"/>
      <c r="B20" s="313" t="s">
        <v>5033</v>
      </c>
      <c r="C20" s="313" t="n">
        <v>20</v>
      </c>
      <c r="D20" s="313" t="n">
        <v>85</v>
      </c>
      <c r="E20" s="313" t="n">
        <v>200</v>
      </c>
      <c r="F20" s="313" t="n">
        <v>180</v>
      </c>
      <c r="G20" s="313" t="n">
        <v>200</v>
      </c>
      <c r="H20" s="313" t="n">
        <v>150</v>
      </c>
      <c r="I20" s="313" t="n">
        <v>30</v>
      </c>
      <c r="J20" s="313" t="n">
        <v>22</v>
      </c>
      <c r="K20" s="2"/>
      <c r="L20" s="2"/>
    </row>
    <row r="21" customFormat="false" ht="18" hidden="false" customHeight="true" outlineLevel="0" collapsed="false">
      <c r="A21" s="2"/>
      <c r="B21" s="313" t="s">
        <v>5185</v>
      </c>
      <c r="C21" s="313" t="n">
        <v>24</v>
      </c>
      <c r="D21" s="313" t="n">
        <v>115</v>
      </c>
      <c r="E21" s="313" t="n">
        <v>200</v>
      </c>
      <c r="F21" s="313" t="n">
        <v>220</v>
      </c>
      <c r="G21" s="313" t="n">
        <v>300</v>
      </c>
      <c r="H21" s="313" t="n">
        <v>200</v>
      </c>
      <c r="I21" s="313" t="n">
        <v>36</v>
      </c>
      <c r="J21" s="313" t="n">
        <v>26</v>
      </c>
      <c r="K21" s="2"/>
      <c r="L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customFormat="false" ht="45" hidden="false" customHeight="true" outlineLevel="0" collapsed="false">
      <c r="A23" s="2"/>
      <c r="B23" s="311" t="s">
        <v>5188</v>
      </c>
      <c r="C23" s="311"/>
      <c r="D23" s="311"/>
      <c r="E23" s="311"/>
      <c r="F23" s="311"/>
      <c r="G23" s="311"/>
      <c r="H23" s="311"/>
      <c r="I23" s="311"/>
      <c r="J23" s="311"/>
      <c r="K23" s="311"/>
      <c r="L23" s="311"/>
    </row>
    <row r="24" customFormat="false" ht="30" hidden="false" customHeight="true" outlineLevel="0" collapsed="false">
      <c r="A24" s="2"/>
      <c r="B24" s="312" t="s">
        <v>5017</v>
      </c>
      <c r="C24" s="312" t="s">
        <v>5036</v>
      </c>
      <c r="D24" s="312" t="s">
        <v>5037</v>
      </c>
      <c r="E24" s="312" t="s">
        <v>5038</v>
      </c>
      <c r="F24" s="312" t="s">
        <v>5039</v>
      </c>
      <c r="G24" s="312" t="s">
        <v>5983</v>
      </c>
      <c r="H24" s="312" t="s">
        <v>5984</v>
      </c>
      <c r="I24" s="2"/>
      <c r="J24" s="2"/>
      <c r="K24" s="2"/>
      <c r="L24" s="2"/>
    </row>
    <row r="25" customFormat="false" ht="18" hidden="false" customHeight="true" outlineLevel="0" collapsed="false">
      <c r="A25" s="2"/>
      <c r="B25" s="313" t="s">
        <v>5025</v>
      </c>
      <c r="C25" s="313" t="n">
        <v>35</v>
      </c>
      <c r="D25" s="313" t="n">
        <v>10.7</v>
      </c>
      <c r="E25" s="313" t="n">
        <v>18</v>
      </c>
      <c r="F25" s="313" t="n">
        <v>6.2</v>
      </c>
      <c r="G25" s="313" t="n">
        <v>4.4</v>
      </c>
      <c r="H25" s="313" t="n">
        <v>4.4</v>
      </c>
      <c r="I25" s="2"/>
      <c r="J25" s="2"/>
      <c r="K25" s="2"/>
      <c r="L25" s="2"/>
    </row>
    <row r="26" customFormat="false" ht="18" hidden="false" customHeight="true" outlineLevel="0" collapsed="false">
      <c r="A26" s="2"/>
      <c r="B26" s="313" t="s">
        <v>5025</v>
      </c>
      <c r="C26" s="313" t="n">
        <v>55</v>
      </c>
      <c r="D26" s="313" t="n">
        <v>10.7</v>
      </c>
      <c r="E26" s="313" t="n">
        <v>18</v>
      </c>
      <c r="F26" s="313" t="n">
        <v>13</v>
      </c>
      <c r="G26" s="313" t="n">
        <v>9.3</v>
      </c>
      <c r="H26" s="313" t="n">
        <v>9.3</v>
      </c>
      <c r="I26" s="2"/>
      <c r="J26" s="2"/>
      <c r="K26" s="2"/>
      <c r="L26" s="2"/>
    </row>
    <row r="27" customFormat="false" ht="18" hidden="false" customHeight="true" outlineLevel="0" collapsed="false">
      <c r="A27" s="2"/>
      <c r="B27" s="313" t="s">
        <v>5027</v>
      </c>
      <c r="C27" s="313" t="n">
        <v>40</v>
      </c>
      <c r="D27" s="313" t="n">
        <v>18</v>
      </c>
      <c r="E27" s="313" t="n">
        <v>27.7</v>
      </c>
      <c r="F27" s="313" t="n">
        <v>8.5</v>
      </c>
      <c r="G27" s="313" t="n">
        <v>6.1</v>
      </c>
      <c r="H27" s="313" t="n">
        <v>6.1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5027</v>
      </c>
      <c r="C28" s="313" t="n">
        <v>65</v>
      </c>
      <c r="D28" s="313" t="n">
        <v>18</v>
      </c>
      <c r="E28" s="313" t="n">
        <v>27.7</v>
      </c>
      <c r="F28" s="313" t="n">
        <v>16.8</v>
      </c>
      <c r="G28" s="313" t="n">
        <v>12</v>
      </c>
      <c r="H28" s="313" t="n">
        <v>12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5029</v>
      </c>
      <c r="C29" s="313" t="n">
        <v>50</v>
      </c>
      <c r="D29" s="313" t="n">
        <v>27.7</v>
      </c>
      <c r="E29" s="313" t="n">
        <v>44</v>
      </c>
      <c r="F29" s="313" t="n">
        <v>11.9</v>
      </c>
      <c r="G29" s="313" t="n">
        <v>8.5</v>
      </c>
      <c r="H29" s="313" t="n">
        <v>8.5</v>
      </c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5029</v>
      </c>
      <c r="C30" s="313" t="n">
        <v>75</v>
      </c>
      <c r="D30" s="313" t="n">
        <v>27.7</v>
      </c>
      <c r="E30" s="313" t="n">
        <v>44</v>
      </c>
      <c r="F30" s="313" t="n">
        <v>21.3</v>
      </c>
      <c r="G30" s="313" t="n">
        <v>15.2</v>
      </c>
      <c r="H30" s="313" t="n">
        <v>15.2</v>
      </c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5031</v>
      </c>
      <c r="C31" s="313" t="n">
        <v>65</v>
      </c>
      <c r="D31" s="313" t="n">
        <v>44</v>
      </c>
      <c r="E31" s="313" t="n">
        <v>74</v>
      </c>
      <c r="F31" s="313" t="n">
        <v>17.6</v>
      </c>
      <c r="G31" s="313" t="n">
        <v>12.6</v>
      </c>
      <c r="H31" s="313" t="n">
        <v>12.6</v>
      </c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5031</v>
      </c>
      <c r="C32" s="313" t="n">
        <v>80</v>
      </c>
      <c r="D32" s="313" t="n">
        <v>44</v>
      </c>
      <c r="E32" s="313" t="n">
        <v>74</v>
      </c>
      <c r="F32" s="313" t="n">
        <v>24.1</v>
      </c>
      <c r="G32" s="313" t="n">
        <v>17.2</v>
      </c>
      <c r="H32" s="313" t="n">
        <v>17.2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13" t="s">
        <v>5033</v>
      </c>
      <c r="C33" s="313" t="n">
        <v>95</v>
      </c>
      <c r="D33" s="313" t="n">
        <v>74</v>
      </c>
      <c r="E33" s="313" t="n">
        <v>100</v>
      </c>
      <c r="F33" s="313" t="n">
        <v>31.1</v>
      </c>
      <c r="G33" s="313" t="n">
        <v>22.2</v>
      </c>
      <c r="H33" s="313" t="n">
        <v>22.2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13" t="s">
        <v>5185</v>
      </c>
      <c r="C34" s="313" t="n">
        <v>115</v>
      </c>
      <c r="D34" s="313" t="n">
        <v>126</v>
      </c>
      <c r="E34" s="313" t="n">
        <v>126</v>
      </c>
      <c r="F34" s="313" t="n">
        <v>42</v>
      </c>
      <c r="G34" s="313" t="n">
        <v>30</v>
      </c>
      <c r="H34" s="313" t="n">
        <v>30</v>
      </c>
      <c r="I34" s="2"/>
      <c r="J34" s="2"/>
      <c r="K34" s="2"/>
      <c r="L34" s="2"/>
    </row>
    <row r="35" customFormat="false" ht="1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customFormat="false" ht="45" hidden="false" customHeight="true" outlineLevel="0" collapsed="false">
      <c r="A36" s="2"/>
      <c r="B36" s="311" t="s">
        <v>5199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</row>
    <row r="37" customFormat="false" ht="30" hidden="false" customHeight="true" outlineLevel="0" collapsed="false">
      <c r="A37" s="2"/>
      <c r="B37" s="312" t="s">
        <v>5017</v>
      </c>
      <c r="C37" s="312" t="s">
        <v>5036</v>
      </c>
      <c r="D37" s="312" t="s">
        <v>5037</v>
      </c>
      <c r="E37" s="312" t="s">
        <v>5038</v>
      </c>
      <c r="F37" s="312" t="s">
        <v>5039</v>
      </c>
      <c r="G37" s="312" t="s">
        <v>5983</v>
      </c>
      <c r="H37" s="312" t="s">
        <v>5984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5025</v>
      </c>
      <c r="C38" s="313" t="n">
        <v>35</v>
      </c>
      <c r="D38" s="313" t="n">
        <v>10.7</v>
      </c>
      <c r="E38" s="313" t="n">
        <v>18</v>
      </c>
      <c r="F38" s="313" t="n">
        <v>3.9</v>
      </c>
      <c r="G38" s="313" t="n">
        <v>2.8</v>
      </c>
      <c r="H38" s="313" t="n">
        <v>2.8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5025</v>
      </c>
      <c r="C39" s="313" t="n">
        <v>55</v>
      </c>
      <c r="D39" s="313" t="n">
        <v>10.7</v>
      </c>
      <c r="E39" s="313" t="n">
        <v>18</v>
      </c>
      <c r="F39" s="313" t="n">
        <v>8.1</v>
      </c>
      <c r="G39" s="313" t="n">
        <v>5.8</v>
      </c>
      <c r="H39" s="313" t="n">
        <v>5.8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5027</v>
      </c>
      <c r="C40" s="313" t="n">
        <v>40</v>
      </c>
      <c r="D40" s="313" t="n">
        <v>18</v>
      </c>
      <c r="E40" s="313" t="n">
        <v>27.7</v>
      </c>
      <c r="F40" s="313" t="n">
        <v>5.3</v>
      </c>
      <c r="G40" s="313" t="n">
        <v>3.8</v>
      </c>
      <c r="H40" s="313" t="n">
        <v>3.8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5027</v>
      </c>
      <c r="C41" s="313" t="n">
        <v>65</v>
      </c>
      <c r="D41" s="313" t="n">
        <v>18</v>
      </c>
      <c r="E41" s="313" t="n">
        <v>27.7</v>
      </c>
      <c r="F41" s="313" t="n">
        <v>10.5</v>
      </c>
      <c r="G41" s="313" t="n">
        <v>7.5</v>
      </c>
      <c r="H41" s="313" t="n">
        <v>7.5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5029</v>
      </c>
      <c r="C42" s="313" t="n">
        <v>50</v>
      </c>
      <c r="D42" s="313" t="n">
        <v>27.7</v>
      </c>
      <c r="E42" s="313" t="n">
        <v>44</v>
      </c>
      <c r="F42" s="313" t="n">
        <v>7.4</v>
      </c>
      <c r="G42" s="313" t="n">
        <v>5.3</v>
      </c>
      <c r="H42" s="313" t="n">
        <v>5.3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13" t="s">
        <v>5029</v>
      </c>
      <c r="C43" s="313" t="n">
        <v>75</v>
      </c>
      <c r="D43" s="313" t="n">
        <v>27.7</v>
      </c>
      <c r="E43" s="313" t="n">
        <v>44</v>
      </c>
      <c r="F43" s="313" t="n">
        <v>13.3</v>
      </c>
      <c r="G43" s="313" t="n">
        <v>9.5</v>
      </c>
      <c r="H43" s="313" t="n">
        <v>9.5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13" t="s">
        <v>5031</v>
      </c>
      <c r="C44" s="313" t="n">
        <v>65</v>
      </c>
      <c r="D44" s="313" t="n">
        <v>44</v>
      </c>
      <c r="E44" s="313" t="n">
        <v>74</v>
      </c>
      <c r="F44" s="313" t="n">
        <v>11</v>
      </c>
      <c r="G44" s="313" t="n">
        <v>7.9</v>
      </c>
      <c r="H44" s="313" t="n">
        <v>7.9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13" t="s">
        <v>5031</v>
      </c>
      <c r="C45" s="313" t="n">
        <v>80</v>
      </c>
      <c r="D45" s="313" t="n">
        <v>44</v>
      </c>
      <c r="E45" s="313" t="n">
        <v>74</v>
      </c>
      <c r="F45" s="313" t="n">
        <v>15.1</v>
      </c>
      <c r="G45" s="313" t="n">
        <v>10.8</v>
      </c>
      <c r="H45" s="313" t="n">
        <v>10.8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13" t="s">
        <v>5033</v>
      </c>
      <c r="C46" s="313" t="n">
        <v>95</v>
      </c>
      <c r="D46" s="313" t="n">
        <v>74</v>
      </c>
      <c r="E46" s="313" t="n">
        <v>100</v>
      </c>
      <c r="F46" s="313" t="n">
        <v>19.4</v>
      </c>
      <c r="G46" s="313" t="n">
        <v>13.9</v>
      </c>
      <c r="H46" s="313" t="n">
        <v>13.9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13" t="s">
        <v>5185</v>
      </c>
      <c r="C47" s="313" t="n">
        <v>115</v>
      </c>
      <c r="D47" s="313" t="n">
        <v>126</v>
      </c>
      <c r="E47" s="313" t="n">
        <v>126</v>
      </c>
      <c r="F47" s="313" t="n">
        <v>26.3</v>
      </c>
      <c r="G47" s="313" t="n">
        <v>18.8</v>
      </c>
      <c r="H47" s="313" t="n">
        <v>18.8</v>
      </c>
      <c r="I47" s="2"/>
      <c r="J47" s="2"/>
      <c r="K47" s="2"/>
      <c r="L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30" hidden="false" customHeight="true" outlineLevel="0" collapsed="false">
      <c r="A49" s="2"/>
      <c r="B49" s="311" t="s">
        <v>5212</v>
      </c>
      <c r="C49" s="311"/>
      <c r="D49" s="311"/>
      <c r="E49" s="311"/>
      <c r="F49" s="311"/>
      <c r="G49" s="311"/>
      <c r="H49" s="311"/>
      <c r="I49" s="311"/>
      <c r="J49" s="311"/>
      <c r="K49" s="311"/>
      <c r="L49" s="311"/>
    </row>
    <row r="50" customFormat="false" ht="30" hidden="false" customHeight="true" outlineLevel="0" collapsed="false">
      <c r="A50" s="2"/>
      <c r="B50" s="312" t="s">
        <v>5017</v>
      </c>
      <c r="C50" s="312" t="s">
        <v>5059</v>
      </c>
      <c r="D50" s="312" t="s">
        <v>5061</v>
      </c>
      <c r="E50" s="312" t="s">
        <v>5062</v>
      </c>
      <c r="F50" s="312" t="s">
        <v>5213</v>
      </c>
      <c r="G50" s="2"/>
      <c r="H50" s="2"/>
      <c r="I50" s="2"/>
      <c r="J50" s="2"/>
      <c r="K50" s="2"/>
      <c r="L50" s="2"/>
    </row>
    <row r="51" customFormat="false" ht="18" hidden="false" customHeight="true" outlineLevel="0" collapsed="false">
      <c r="A51" s="2"/>
      <c r="B51" s="313" t="s">
        <v>5023</v>
      </c>
      <c r="C51" s="313" t="n">
        <v>5</v>
      </c>
      <c r="D51" s="313" t="n">
        <v>4.2</v>
      </c>
      <c r="E51" s="313" t="n">
        <v>3.6</v>
      </c>
      <c r="F51" s="313" t="n">
        <v>3</v>
      </c>
      <c r="G51" s="2"/>
      <c r="H51" s="2"/>
      <c r="I51" s="2"/>
      <c r="J51" s="2"/>
      <c r="K51" s="2"/>
      <c r="L51" s="2"/>
    </row>
    <row r="52" customFormat="false" ht="18" hidden="false" customHeight="true" outlineLevel="0" collapsed="false">
      <c r="A52" s="2"/>
      <c r="B52" s="313" t="s">
        <v>5025</v>
      </c>
      <c r="C52" s="313" t="n">
        <v>11.5</v>
      </c>
      <c r="D52" s="313" t="n">
        <v>10.2</v>
      </c>
      <c r="E52" s="313" t="n">
        <v>8.2</v>
      </c>
      <c r="F52" s="313" t="n">
        <v>7.3</v>
      </c>
      <c r="G52" s="2"/>
      <c r="H52" s="2"/>
      <c r="I52" s="2"/>
      <c r="J52" s="2"/>
      <c r="K52" s="2"/>
      <c r="L52" s="2"/>
    </row>
    <row r="53" customFormat="false" ht="18" hidden="false" customHeight="true" outlineLevel="0" collapsed="false">
      <c r="A53" s="2"/>
      <c r="B53" s="313" t="s">
        <v>5027</v>
      </c>
      <c r="C53" s="313" t="n">
        <v>18.3</v>
      </c>
      <c r="D53" s="313" t="n">
        <v>15.7</v>
      </c>
      <c r="E53" s="313" t="n">
        <v>13</v>
      </c>
      <c r="F53" s="313" t="n">
        <v>11.2</v>
      </c>
      <c r="G53" s="2"/>
      <c r="H53" s="2"/>
      <c r="I53" s="2"/>
      <c r="J53" s="2"/>
      <c r="K53" s="2"/>
      <c r="L53" s="2"/>
    </row>
    <row r="54" customFormat="false" ht="18" hidden="false" customHeight="true" outlineLevel="0" collapsed="false">
      <c r="A54" s="2"/>
      <c r="B54" s="313" t="s">
        <v>5029</v>
      </c>
      <c r="C54" s="313" t="n">
        <v>27</v>
      </c>
      <c r="D54" s="313" t="n">
        <v>23.4</v>
      </c>
      <c r="E54" s="313" t="n">
        <v>19</v>
      </c>
      <c r="F54" s="313" t="n">
        <v>16.4</v>
      </c>
      <c r="G54" s="2"/>
      <c r="H54" s="2"/>
      <c r="I54" s="2"/>
      <c r="J54" s="2"/>
      <c r="K54" s="2"/>
      <c r="L54" s="2"/>
    </row>
    <row r="55" customFormat="false" ht="18" hidden="false" customHeight="true" outlineLevel="0" collapsed="false">
      <c r="A55" s="2"/>
      <c r="B55" s="313" t="s">
        <v>5031</v>
      </c>
      <c r="C55" s="313" t="n">
        <v>48.5</v>
      </c>
      <c r="D55" s="313" t="n">
        <v>42.5</v>
      </c>
      <c r="E55" s="313" t="n">
        <v>34</v>
      </c>
      <c r="F55" s="313" t="n">
        <v>29</v>
      </c>
      <c r="G55" s="2"/>
      <c r="H55" s="2"/>
      <c r="I55" s="2"/>
      <c r="J55" s="2"/>
      <c r="K55" s="2"/>
      <c r="L55" s="2"/>
    </row>
    <row r="56" customFormat="false" ht="18" hidden="false" customHeight="true" outlineLevel="0" collapsed="false">
      <c r="A56" s="2"/>
      <c r="B56" s="313" t="s">
        <v>5033</v>
      </c>
      <c r="C56" s="313" t="n">
        <v>76</v>
      </c>
      <c r="D56" s="313" t="n">
        <v>67</v>
      </c>
      <c r="E56" s="313" t="n">
        <v>52</v>
      </c>
      <c r="F56" s="313" t="n">
        <v>46</v>
      </c>
      <c r="G56" s="2"/>
      <c r="H56" s="2"/>
      <c r="I56" s="2"/>
      <c r="J56" s="2"/>
      <c r="K56" s="2"/>
      <c r="L56" s="2"/>
    </row>
    <row r="57" customFormat="false" ht="18" hidden="false" customHeight="true" outlineLevel="0" collapsed="false">
      <c r="A57" s="2"/>
      <c r="B57" s="313" t="s">
        <v>5185</v>
      </c>
      <c r="C57" s="313" t="n">
        <v>110</v>
      </c>
      <c r="D57" s="313" t="n">
        <v>100</v>
      </c>
      <c r="E57" s="313" t="n">
        <v>74</v>
      </c>
      <c r="F57" s="313" t="n">
        <v>68</v>
      </c>
      <c r="G57" s="2"/>
      <c r="H57" s="2"/>
      <c r="I57" s="2"/>
      <c r="J57" s="2"/>
      <c r="K57" s="2"/>
      <c r="L57" s="2"/>
    </row>
    <row r="58" customFormat="false" ht="1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customFormat="false" ht="45" hidden="false" customHeight="true" outlineLevel="0" collapsed="false">
      <c r="A59" s="2"/>
      <c r="B59" s="311" t="s">
        <v>5224</v>
      </c>
      <c r="C59" s="311"/>
      <c r="D59" s="311"/>
      <c r="E59" s="311"/>
      <c r="F59" s="311"/>
      <c r="G59" s="311"/>
      <c r="H59" s="311"/>
      <c r="I59" s="311"/>
      <c r="J59" s="311"/>
      <c r="K59" s="311"/>
      <c r="L59" s="311"/>
    </row>
    <row r="60" customFormat="false" ht="30" hidden="false" customHeight="true" outlineLevel="0" collapsed="false">
      <c r="A60" s="2"/>
      <c r="B60" s="312" t="s">
        <v>5017</v>
      </c>
      <c r="C60" s="312" t="s">
        <v>5225</v>
      </c>
      <c r="D60" s="312" t="s">
        <v>5226</v>
      </c>
      <c r="E60" s="312" t="s">
        <v>5227</v>
      </c>
      <c r="F60" s="312" t="s">
        <v>5228</v>
      </c>
      <c r="G60" s="312" t="s">
        <v>5992</v>
      </c>
      <c r="H60" s="312" t="s">
        <v>913</v>
      </c>
      <c r="I60" s="2"/>
      <c r="J60" s="2"/>
      <c r="K60" s="2"/>
      <c r="L60" s="2"/>
    </row>
    <row r="61" customFormat="false" ht="30" hidden="false" customHeight="true" outlineLevel="0" collapsed="false">
      <c r="A61" s="2"/>
      <c r="B61" s="313" t="s">
        <v>5025</v>
      </c>
      <c r="C61" s="313" t="s">
        <v>5230</v>
      </c>
      <c r="D61" s="313" t="n">
        <v>7.1</v>
      </c>
      <c r="E61" s="313" t="n">
        <v>12</v>
      </c>
      <c r="F61" s="313" t="n">
        <v>7.7</v>
      </c>
      <c r="G61" s="313" t="n">
        <v>6.8</v>
      </c>
      <c r="H61" s="313" t="s">
        <v>5993</v>
      </c>
      <c r="I61" s="2"/>
      <c r="J61" s="2"/>
      <c r="K61" s="2"/>
      <c r="L61" s="2"/>
    </row>
    <row r="62" customFormat="false" ht="30" hidden="false" customHeight="true" outlineLevel="0" collapsed="false">
      <c r="A62" s="2"/>
      <c r="B62" s="313" t="s">
        <v>5027</v>
      </c>
      <c r="C62" s="313" t="s">
        <v>5233</v>
      </c>
      <c r="D62" s="313" t="n">
        <v>12</v>
      </c>
      <c r="E62" s="313" t="n">
        <v>18.5</v>
      </c>
      <c r="F62" s="313" t="n">
        <v>12.2</v>
      </c>
      <c r="G62" s="313" t="n">
        <v>10.5</v>
      </c>
      <c r="H62" s="313" t="s">
        <v>5994</v>
      </c>
      <c r="I62" s="2"/>
      <c r="J62" s="2"/>
      <c r="K62" s="2"/>
      <c r="L62" s="2"/>
    </row>
    <row r="63" customFormat="false" ht="30" hidden="false" customHeight="true" outlineLevel="0" collapsed="false">
      <c r="A63" s="2"/>
      <c r="B63" s="313" t="s">
        <v>5029</v>
      </c>
      <c r="C63" s="313" t="s">
        <v>5233</v>
      </c>
      <c r="D63" s="313" t="n">
        <v>18.5</v>
      </c>
      <c r="E63" s="313" t="n">
        <v>29.3</v>
      </c>
      <c r="F63" s="313" t="n">
        <v>18</v>
      </c>
      <c r="G63" s="313" t="n">
        <v>15.6</v>
      </c>
      <c r="H63" s="313" t="s">
        <v>5995</v>
      </c>
      <c r="I63" s="2"/>
      <c r="J63" s="2"/>
      <c r="K63" s="2"/>
      <c r="L63" s="2"/>
    </row>
    <row r="64" customFormat="false" ht="18" hidden="false" customHeight="true" outlineLevel="0" collapsed="false">
      <c r="A64" s="2"/>
      <c r="B64" s="313" t="s">
        <v>5031</v>
      </c>
      <c r="C64" s="313" t="s">
        <v>5233</v>
      </c>
      <c r="D64" s="313" t="n">
        <v>29.3</v>
      </c>
      <c r="E64" s="313" t="n">
        <v>49.3</v>
      </c>
      <c r="F64" s="313" t="n">
        <v>32.3</v>
      </c>
      <c r="G64" s="313" t="n">
        <v>28.3</v>
      </c>
      <c r="H64" s="313"/>
      <c r="I64" s="2"/>
      <c r="J64" s="2"/>
      <c r="K64" s="2"/>
      <c r="L64" s="2"/>
    </row>
    <row r="65" customFormat="false" ht="18" hidden="false" customHeight="true" outlineLevel="0" collapsed="false">
      <c r="A65" s="2"/>
      <c r="B65" s="313" t="s">
        <v>5033</v>
      </c>
      <c r="C65" s="313" t="s">
        <v>5233</v>
      </c>
      <c r="D65" s="313" t="n">
        <v>49.3</v>
      </c>
      <c r="E65" s="313" t="n">
        <v>66.7</v>
      </c>
      <c r="F65" s="313" t="n">
        <v>50.7</v>
      </c>
      <c r="G65" s="313" t="n">
        <v>44.7</v>
      </c>
      <c r="H65" s="313"/>
      <c r="I65" s="2"/>
      <c r="J65" s="2"/>
      <c r="K65" s="2"/>
      <c r="L65" s="2"/>
    </row>
    <row r="66" customFormat="false" ht="30" hidden="false" customHeight="true" outlineLevel="0" collapsed="false">
      <c r="A66" s="2"/>
      <c r="B66" s="313" t="s">
        <v>5185</v>
      </c>
      <c r="C66" s="313" t="s">
        <v>5230</v>
      </c>
      <c r="D66" s="313" t="n">
        <v>84</v>
      </c>
      <c r="E66" s="313" t="n">
        <v>84</v>
      </c>
      <c r="F66" s="313" t="n">
        <v>73.3</v>
      </c>
      <c r="G66" s="313" t="n">
        <v>66.7</v>
      </c>
      <c r="H66" s="313" t="s">
        <v>5996</v>
      </c>
      <c r="I66" s="2"/>
      <c r="J66" s="2"/>
      <c r="K66" s="2"/>
      <c r="L66" s="2"/>
    </row>
    <row r="67" customFormat="false" ht="1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customFormat="false" ht="30" hidden="false" customHeight="true" outlineLevel="0" collapsed="false">
      <c r="A68" s="2"/>
      <c r="B68" s="311" t="s">
        <v>5246</v>
      </c>
      <c r="C68" s="311"/>
      <c r="D68" s="311"/>
      <c r="E68" s="311"/>
      <c r="F68" s="311"/>
      <c r="G68" s="311"/>
      <c r="H68" s="311"/>
      <c r="I68" s="311"/>
      <c r="J68" s="311"/>
      <c r="K68" s="311"/>
      <c r="L68" s="311"/>
    </row>
    <row r="69" customFormat="false" ht="30" hidden="false" customHeight="true" outlineLevel="0" collapsed="false">
      <c r="A69" s="2"/>
      <c r="B69" s="312" t="s">
        <v>5017</v>
      </c>
      <c r="C69" s="312" t="s">
        <v>5036</v>
      </c>
      <c r="D69" s="312" t="s">
        <v>5247</v>
      </c>
      <c r="E69" s="312" t="s">
        <v>5248</v>
      </c>
      <c r="F69" s="312" t="s">
        <v>5249</v>
      </c>
      <c r="G69" s="312" t="s">
        <v>5997</v>
      </c>
      <c r="H69" s="2"/>
      <c r="I69" s="2"/>
      <c r="J69" s="2"/>
      <c r="K69" s="2"/>
      <c r="L69" s="2"/>
    </row>
    <row r="70" customFormat="false" ht="18" hidden="false" customHeight="true" outlineLevel="0" collapsed="false">
      <c r="A70" s="2"/>
      <c r="B70" s="313" t="s">
        <v>5025</v>
      </c>
      <c r="C70" s="313" t="n">
        <v>55</v>
      </c>
      <c r="D70" s="313" t="n">
        <v>8</v>
      </c>
      <c r="E70" s="313" t="n">
        <v>6.5</v>
      </c>
      <c r="F70" s="313" t="n">
        <v>5.5</v>
      </c>
      <c r="G70" s="313" t="n">
        <v>4.8</v>
      </c>
      <c r="H70" s="2"/>
      <c r="I70" s="2"/>
      <c r="J70" s="2"/>
      <c r="K70" s="2"/>
      <c r="L70" s="2"/>
    </row>
    <row r="71" customFormat="false" ht="18" hidden="false" customHeight="true" outlineLevel="0" collapsed="false">
      <c r="A71" s="2"/>
      <c r="B71" s="313" t="s">
        <v>5027</v>
      </c>
      <c r="C71" s="313" t="n">
        <v>65</v>
      </c>
      <c r="D71" s="313" t="n">
        <v>13</v>
      </c>
      <c r="E71" s="313" t="n">
        <v>10.5</v>
      </c>
      <c r="F71" s="313" t="n">
        <v>9</v>
      </c>
      <c r="G71" s="313" t="n">
        <v>7.8</v>
      </c>
      <c r="H71" s="2"/>
      <c r="I71" s="2"/>
      <c r="J71" s="2"/>
      <c r="K71" s="2"/>
      <c r="L71" s="2"/>
    </row>
    <row r="72" customFormat="false" ht="18" hidden="false" customHeight="true" outlineLevel="0" collapsed="false">
      <c r="A72" s="2"/>
      <c r="B72" s="313" t="s">
        <v>5029</v>
      </c>
      <c r="C72" s="313" t="n">
        <v>75</v>
      </c>
      <c r="D72" s="313" t="n">
        <v>18</v>
      </c>
      <c r="E72" s="313" t="n">
        <v>14.5</v>
      </c>
      <c r="F72" s="313" t="n">
        <v>12.5</v>
      </c>
      <c r="G72" s="313" t="n">
        <v>10.8</v>
      </c>
      <c r="H72" s="2"/>
      <c r="I72" s="2"/>
      <c r="J72" s="2"/>
      <c r="K72" s="2"/>
      <c r="L72" s="2"/>
    </row>
    <row r="73" customFormat="false" ht="18" hidden="false" customHeight="true" outlineLevel="0" collapsed="false">
      <c r="A73" s="2"/>
      <c r="B73" s="313" t="s">
        <v>5031</v>
      </c>
      <c r="C73" s="313" t="n">
        <v>80</v>
      </c>
      <c r="D73" s="313" t="n">
        <v>20</v>
      </c>
      <c r="E73" s="313" t="n">
        <v>16</v>
      </c>
      <c r="F73" s="313" t="n">
        <v>13.8</v>
      </c>
      <c r="G73" s="313" t="n">
        <v>12</v>
      </c>
      <c r="H73" s="2"/>
      <c r="I73" s="2"/>
      <c r="J73" s="2"/>
      <c r="K73" s="2"/>
      <c r="L73" s="2"/>
    </row>
    <row r="74" customFormat="false" ht="18" hidden="false" customHeight="true" outlineLevel="0" collapsed="false">
      <c r="A74" s="2"/>
      <c r="B74" s="313" t="s">
        <v>5033</v>
      </c>
      <c r="C74" s="313" t="n">
        <v>95</v>
      </c>
      <c r="D74" s="313" t="n">
        <v>27</v>
      </c>
      <c r="E74" s="313" t="n">
        <v>22</v>
      </c>
      <c r="F74" s="313" t="n">
        <v>18.8</v>
      </c>
      <c r="G74" s="313" t="n">
        <v>16.2</v>
      </c>
      <c r="H74" s="2"/>
      <c r="I74" s="2"/>
      <c r="J74" s="2"/>
      <c r="K74" s="2"/>
      <c r="L74" s="2"/>
    </row>
    <row r="75" customFormat="false" ht="18" hidden="false" customHeight="true" outlineLevel="0" collapsed="false">
      <c r="A75" s="2"/>
      <c r="B75" s="313" t="s">
        <v>5185</v>
      </c>
      <c r="C75" s="313" t="n">
        <v>115</v>
      </c>
      <c r="D75" s="313" t="n">
        <v>37</v>
      </c>
      <c r="E75" s="313" t="n">
        <v>30</v>
      </c>
      <c r="F75" s="313" t="n">
        <v>25.5</v>
      </c>
      <c r="G75" s="313" t="n">
        <v>22</v>
      </c>
      <c r="H75" s="2"/>
      <c r="I75" s="2"/>
      <c r="J75" s="2"/>
      <c r="K75" s="2"/>
      <c r="L75" s="2"/>
    </row>
    <row r="76" customFormat="false" ht="1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customFormat="false" ht="75" hidden="false" customHeight="true" outlineLevel="0" collapsed="false">
      <c r="A77" s="2"/>
      <c r="B77" s="60" t="s">
        <v>5258</v>
      </c>
      <c r="C77" s="2"/>
      <c r="D77" s="2"/>
      <c r="E77" s="2"/>
      <c r="F77" s="2"/>
      <c r="G77" s="2"/>
      <c r="H77" s="2"/>
      <c r="I77" s="2"/>
      <c r="J77" s="2"/>
      <c r="K77" s="2"/>
      <c r="L77" s="2"/>
    </row>
  </sheetData>
  <mergeCells count="10">
    <mergeCell ref="B2:L2"/>
    <mergeCell ref="B3:L3"/>
    <mergeCell ref="B4:L4"/>
    <mergeCell ref="B6:L6"/>
    <mergeCell ref="B13:L13"/>
    <mergeCell ref="B23:L23"/>
    <mergeCell ref="B36:L36"/>
    <mergeCell ref="B49:L49"/>
    <mergeCell ref="B59:L59"/>
    <mergeCell ref="B68:L6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6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99" t="s">
        <v>5259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5260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5261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5262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5263</v>
      </c>
      <c r="C7" s="312" t="s">
        <v>5264</v>
      </c>
      <c r="D7" s="312" t="s">
        <v>5265</v>
      </c>
      <c r="E7" s="312" t="s">
        <v>5266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13" t="s">
        <v>5268</v>
      </c>
      <c r="C8" s="313" t="s">
        <v>5269</v>
      </c>
      <c r="D8" s="313" t="s">
        <v>5270</v>
      </c>
      <c r="E8" s="313" t="s">
        <v>5271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13" t="s">
        <v>5273</v>
      </c>
      <c r="C9" s="313" t="s">
        <v>5274</v>
      </c>
      <c r="D9" s="313" t="s">
        <v>5275</v>
      </c>
      <c r="E9" s="313" t="s">
        <v>5276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5278</v>
      </c>
      <c r="C10" s="313" t="s">
        <v>5279</v>
      </c>
      <c r="D10" s="313" t="s">
        <v>5275</v>
      </c>
      <c r="E10" s="313" t="s">
        <v>5280</v>
      </c>
      <c r="F10" s="2"/>
      <c r="G10" s="2"/>
      <c r="H10" s="2"/>
      <c r="I10" s="2"/>
      <c r="J10" s="2"/>
      <c r="K10" s="2"/>
      <c r="L10" s="2"/>
    </row>
    <row r="11" customFormat="false" ht="18" hidden="false" customHeight="true" outlineLevel="0" collapsed="false">
      <c r="A11" s="2"/>
      <c r="B11" s="313" t="s">
        <v>5282</v>
      </c>
      <c r="C11" s="313" t="s">
        <v>5283</v>
      </c>
      <c r="D11" s="313" t="s">
        <v>5270</v>
      </c>
      <c r="E11" s="313" t="s">
        <v>5284</v>
      </c>
      <c r="F11" s="2"/>
      <c r="G11" s="2"/>
      <c r="H11" s="2"/>
      <c r="I11" s="2"/>
      <c r="J11" s="2"/>
      <c r="K11" s="2"/>
      <c r="L11" s="2"/>
    </row>
    <row r="12" customFormat="false" ht="30" hidden="false" customHeight="true" outlineLevel="0" collapsed="false">
      <c r="A12" s="2"/>
      <c r="B12" s="313" t="s">
        <v>5286</v>
      </c>
      <c r="C12" s="313" t="s">
        <v>5287</v>
      </c>
      <c r="D12" s="313" t="s">
        <v>5270</v>
      </c>
      <c r="E12" s="313" t="s">
        <v>5288</v>
      </c>
      <c r="F12" s="2"/>
      <c r="G12" s="2"/>
      <c r="H12" s="2"/>
      <c r="I12" s="2"/>
      <c r="J12" s="2"/>
      <c r="K12" s="2"/>
      <c r="L12" s="2"/>
    </row>
    <row r="13" customFormat="false" ht="45" hidden="false" customHeight="true" outlineLevel="0" collapsed="false">
      <c r="A13" s="2"/>
      <c r="B13" s="313" t="s">
        <v>5290</v>
      </c>
      <c r="C13" s="313" t="s">
        <v>5274</v>
      </c>
      <c r="D13" s="313" t="s">
        <v>5275</v>
      </c>
      <c r="E13" s="313" t="s">
        <v>5291</v>
      </c>
      <c r="F13" s="2"/>
      <c r="G13" s="2"/>
      <c r="H13" s="2"/>
      <c r="I13" s="2"/>
      <c r="J13" s="2"/>
      <c r="K13" s="2"/>
      <c r="L13" s="2"/>
    </row>
    <row r="14" customFormat="false" ht="45" hidden="false" customHeight="true" outlineLevel="0" collapsed="false">
      <c r="A14" s="2"/>
      <c r="B14" s="313" t="s">
        <v>5293</v>
      </c>
      <c r="C14" s="313" t="s">
        <v>5287</v>
      </c>
      <c r="D14" s="313" t="s">
        <v>5270</v>
      </c>
      <c r="E14" s="313" t="s">
        <v>5291</v>
      </c>
      <c r="F14" s="2"/>
      <c r="G14" s="2"/>
      <c r="H14" s="2"/>
      <c r="I14" s="2"/>
      <c r="J14" s="2"/>
      <c r="K14" s="2"/>
      <c r="L14" s="2"/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customFormat="false" ht="30" hidden="false" customHeight="true" outlineLevel="0" collapsed="false">
      <c r="A16" s="2"/>
      <c r="B16" s="311" t="s">
        <v>5295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</row>
    <row r="17" customFormat="false" ht="30" hidden="false" customHeight="true" outlineLevel="0" collapsed="false">
      <c r="A17" s="2"/>
      <c r="B17" s="312" t="s">
        <v>5296</v>
      </c>
      <c r="C17" s="312" t="s">
        <v>5297</v>
      </c>
      <c r="D17" s="312" t="s">
        <v>5298</v>
      </c>
      <c r="E17" s="312" t="s">
        <v>5299</v>
      </c>
      <c r="F17" s="312" t="s">
        <v>5300</v>
      </c>
      <c r="G17" s="312" t="s">
        <v>5998</v>
      </c>
      <c r="H17" s="312" t="s">
        <v>5496</v>
      </c>
      <c r="I17" s="312" t="s">
        <v>5999</v>
      </c>
      <c r="J17" s="312" t="s">
        <v>6000</v>
      </c>
      <c r="K17" s="2"/>
      <c r="L17" s="2"/>
    </row>
    <row r="18" customFormat="false" ht="18" hidden="false" customHeight="true" outlineLevel="0" collapsed="false">
      <c r="A18" s="2"/>
      <c r="B18" s="313" t="s">
        <v>5025</v>
      </c>
      <c r="C18" s="313" t="s">
        <v>520</v>
      </c>
      <c r="D18" s="313" t="s">
        <v>520</v>
      </c>
      <c r="E18" s="313" t="s">
        <v>524</v>
      </c>
      <c r="F18" s="313" t="s">
        <v>520</v>
      </c>
      <c r="G18" s="313" t="s">
        <v>520</v>
      </c>
      <c r="H18" s="313" t="n">
        <v>10</v>
      </c>
      <c r="I18" s="313" t="n">
        <v>60</v>
      </c>
      <c r="J18" s="313" t="n">
        <v>160</v>
      </c>
      <c r="K18" s="2"/>
      <c r="L18" s="2"/>
    </row>
    <row r="19" customFormat="false" ht="18" hidden="false" customHeight="true" outlineLevel="0" collapsed="false">
      <c r="A19" s="2"/>
      <c r="B19" s="313" t="s">
        <v>5027</v>
      </c>
      <c r="C19" s="313" t="s">
        <v>520</v>
      </c>
      <c r="D19" s="313" t="s">
        <v>520</v>
      </c>
      <c r="E19" s="313" t="s">
        <v>524</v>
      </c>
      <c r="F19" s="313" t="s">
        <v>520</v>
      </c>
      <c r="G19" s="313" t="s">
        <v>520</v>
      </c>
      <c r="H19" s="313" t="n">
        <v>12</v>
      </c>
      <c r="I19" s="313" t="n">
        <v>80</v>
      </c>
      <c r="J19" s="313" t="n">
        <v>200</v>
      </c>
      <c r="K19" s="2"/>
      <c r="L19" s="2"/>
    </row>
    <row r="20" customFormat="false" ht="18" hidden="false" customHeight="true" outlineLevel="0" collapsed="false">
      <c r="A20" s="2"/>
      <c r="B20" s="313" t="s">
        <v>5029</v>
      </c>
      <c r="C20" s="313" t="s">
        <v>520</v>
      </c>
      <c r="D20" s="313" t="s">
        <v>520</v>
      </c>
      <c r="E20" s="313" t="s">
        <v>520</v>
      </c>
      <c r="F20" s="313" t="s">
        <v>520</v>
      </c>
      <c r="G20" s="313" t="s">
        <v>520</v>
      </c>
      <c r="H20" s="313" t="n">
        <v>14</v>
      </c>
      <c r="I20" s="313" t="n">
        <v>100</v>
      </c>
      <c r="J20" s="313" t="n">
        <v>240</v>
      </c>
      <c r="K20" s="2"/>
      <c r="L20" s="2"/>
    </row>
    <row r="21" customFormat="false" ht="18" hidden="false" customHeight="true" outlineLevel="0" collapsed="false">
      <c r="A21" s="2"/>
      <c r="B21" s="313" t="s">
        <v>5031</v>
      </c>
      <c r="C21" s="313" t="s">
        <v>520</v>
      </c>
      <c r="D21" s="313" t="s">
        <v>520</v>
      </c>
      <c r="E21" s="313" t="s">
        <v>520</v>
      </c>
      <c r="F21" s="313" t="s">
        <v>520</v>
      </c>
      <c r="G21" s="313" t="s">
        <v>520</v>
      </c>
      <c r="H21" s="313" t="n">
        <v>18</v>
      </c>
      <c r="I21" s="313" t="n">
        <v>125</v>
      </c>
      <c r="J21" s="313" t="n">
        <v>320</v>
      </c>
      <c r="K21" s="2"/>
      <c r="L21" s="2"/>
    </row>
    <row r="22" customFormat="false" ht="18" hidden="false" customHeight="true" outlineLevel="0" collapsed="false">
      <c r="A22" s="2"/>
      <c r="B22" s="313" t="s">
        <v>5033</v>
      </c>
      <c r="C22" s="313" t="s">
        <v>520</v>
      </c>
      <c r="D22" s="313" t="s">
        <v>520</v>
      </c>
      <c r="E22" s="313" t="s">
        <v>520</v>
      </c>
      <c r="F22" s="313" t="s">
        <v>520</v>
      </c>
      <c r="G22" s="313" t="s">
        <v>520</v>
      </c>
      <c r="H22" s="313" t="n">
        <v>24</v>
      </c>
      <c r="I22" s="313" t="n">
        <v>155</v>
      </c>
      <c r="J22" s="313" t="n">
        <v>400</v>
      </c>
      <c r="K22" s="2"/>
      <c r="L22" s="2"/>
    </row>
    <row r="23" customFormat="false" ht="18" hidden="false" customHeight="true" outlineLevel="0" collapsed="false">
      <c r="A23" s="2"/>
      <c r="B23" s="313" t="s">
        <v>5185</v>
      </c>
      <c r="C23" s="313" t="s">
        <v>520</v>
      </c>
      <c r="D23" s="313" t="s">
        <v>520</v>
      </c>
      <c r="E23" s="313" t="s">
        <v>520</v>
      </c>
      <c r="F23" s="313" t="s">
        <v>520</v>
      </c>
      <c r="G23" s="313" t="s">
        <v>520</v>
      </c>
      <c r="H23" s="313" t="n">
        <v>28</v>
      </c>
      <c r="I23" s="313" t="n">
        <v>190</v>
      </c>
      <c r="J23" s="313" t="n">
        <v>480</v>
      </c>
      <c r="K23" s="2"/>
      <c r="L23" s="2"/>
    </row>
    <row r="24" customFormat="false" ht="18" hidden="false" customHeight="true" outlineLevel="0" collapsed="false">
      <c r="A24" s="2"/>
      <c r="B24" s="313" t="s">
        <v>5308</v>
      </c>
      <c r="C24" s="313" t="s">
        <v>524</v>
      </c>
      <c r="D24" s="313" t="s">
        <v>520</v>
      </c>
      <c r="E24" s="313" t="s">
        <v>520</v>
      </c>
      <c r="F24" s="313" t="s">
        <v>520</v>
      </c>
      <c r="G24" s="313" t="s">
        <v>524</v>
      </c>
      <c r="H24" s="313" t="n">
        <v>32</v>
      </c>
      <c r="I24" s="313" t="n">
        <v>220</v>
      </c>
      <c r="J24" s="313" t="n">
        <v>540</v>
      </c>
      <c r="K24" s="2"/>
      <c r="L24" s="2"/>
    </row>
    <row r="25" customFormat="false" ht="18" hidden="false" customHeight="true" outlineLevel="0" collapsed="false">
      <c r="A25" s="2"/>
      <c r="B25" s="313" t="s">
        <v>5310</v>
      </c>
      <c r="C25" s="313" t="s">
        <v>524</v>
      </c>
      <c r="D25" s="313" t="s">
        <v>520</v>
      </c>
      <c r="E25" s="313" t="s">
        <v>520</v>
      </c>
      <c r="F25" s="313" t="s">
        <v>520</v>
      </c>
      <c r="G25" s="313" t="s">
        <v>524</v>
      </c>
      <c r="H25" s="313" t="n">
        <v>35</v>
      </c>
      <c r="I25" s="313" t="n">
        <v>240</v>
      </c>
      <c r="J25" s="313" t="n">
        <v>600</v>
      </c>
      <c r="K25" s="2"/>
      <c r="L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customFormat="false" ht="30" hidden="false" customHeight="true" outlineLevel="0" collapsed="false">
      <c r="A27" s="2"/>
      <c r="B27" s="311" t="s">
        <v>5312</v>
      </c>
      <c r="C27" s="311"/>
      <c r="D27" s="311"/>
      <c r="E27" s="311"/>
      <c r="F27" s="311"/>
      <c r="G27" s="311"/>
      <c r="H27" s="311"/>
      <c r="I27" s="311"/>
      <c r="J27" s="311"/>
      <c r="K27" s="311"/>
      <c r="L27" s="311"/>
    </row>
    <row r="28" customFormat="false" ht="30" hidden="false" customHeight="true" outlineLevel="0" collapsed="false">
      <c r="A28" s="2"/>
      <c r="B28" s="312" t="s">
        <v>5263</v>
      </c>
      <c r="C28" s="312" t="s">
        <v>5313</v>
      </c>
      <c r="D28" s="312" t="s">
        <v>5314</v>
      </c>
      <c r="E28" s="312" t="s">
        <v>5315</v>
      </c>
      <c r="F28" s="312" t="s">
        <v>5316</v>
      </c>
      <c r="G28" s="312" t="s">
        <v>6001</v>
      </c>
      <c r="H28" s="2"/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5318</v>
      </c>
      <c r="C29" s="313" t="n">
        <v>90</v>
      </c>
      <c r="D29" s="313" t="n">
        <v>60</v>
      </c>
      <c r="E29" s="313" t="n">
        <v>45</v>
      </c>
      <c r="F29" s="313" t="n">
        <v>35</v>
      </c>
      <c r="G29" s="313" t="n">
        <v>35</v>
      </c>
      <c r="H29" s="2"/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5320</v>
      </c>
      <c r="C30" s="313" t="n">
        <v>60</v>
      </c>
      <c r="D30" s="313" t="n">
        <v>45</v>
      </c>
      <c r="E30" s="313" t="n">
        <v>30</v>
      </c>
      <c r="F30" s="313" t="n">
        <v>25</v>
      </c>
      <c r="G30" s="313" t="n">
        <v>20</v>
      </c>
      <c r="H30" s="2"/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5322</v>
      </c>
      <c r="C31" s="313" t="n">
        <v>120</v>
      </c>
      <c r="D31" s="313" t="n">
        <v>90</v>
      </c>
      <c r="E31" s="313" t="n">
        <v>60</v>
      </c>
      <c r="F31" s="313" t="s">
        <v>524</v>
      </c>
      <c r="G31" s="313" t="s">
        <v>524</v>
      </c>
      <c r="H31" s="2"/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5324</v>
      </c>
      <c r="C32" s="313" t="n">
        <v>45</v>
      </c>
      <c r="D32" s="313" t="n">
        <v>30</v>
      </c>
      <c r="E32" s="313" t="n">
        <v>20</v>
      </c>
      <c r="F32" s="313" t="n">
        <v>15</v>
      </c>
      <c r="G32" s="313" t="n">
        <v>10</v>
      </c>
      <c r="H32" s="2"/>
      <c r="I32" s="2"/>
      <c r="J32" s="2"/>
      <c r="K32" s="2"/>
      <c r="L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customFormat="false" ht="45" hidden="false" customHeight="true" outlineLevel="0" collapsed="false">
      <c r="A34" s="2"/>
      <c r="B34" s="311" t="s">
        <v>5326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</row>
    <row r="35" customFormat="false" ht="30" hidden="false" customHeight="true" outlineLevel="0" collapsed="false">
      <c r="A35" s="2"/>
      <c r="B35" s="312" t="s">
        <v>5327</v>
      </c>
      <c r="C35" s="312" t="s">
        <v>5036</v>
      </c>
      <c r="D35" s="312" t="s">
        <v>5328</v>
      </c>
      <c r="E35" s="312" t="s">
        <v>5329</v>
      </c>
      <c r="F35" s="312" t="s">
        <v>5038</v>
      </c>
      <c r="G35" s="312" t="s">
        <v>5039</v>
      </c>
      <c r="H35" s="312" t="s">
        <v>6002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5025</v>
      </c>
      <c r="C36" s="313" t="n">
        <v>60</v>
      </c>
      <c r="D36" s="313" t="n">
        <v>11.8</v>
      </c>
      <c r="E36" s="313" t="n">
        <v>16.8</v>
      </c>
      <c r="F36" s="313" t="n">
        <v>14.2</v>
      </c>
      <c r="G36" s="313" t="n">
        <v>12.8</v>
      </c>
      <c r="H36" s="313" t="n">
        <v>17.5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5025</v>
      </c>
      <c r="C37" s="313" t="n">
        <v>80</v>
      </c>
      <c r="D37" s="313" t="n">
        <v>11.8</v>
      </c>
      <c r="E37" s="313" t="n">
        <v>16.8</v>
      </c>
      <c r="F37" s="313" t="n">
        <v>14.2</v>
      </c>
      <c r="G37" s="313" t="n">
        <v>20.2</v>
      </c>
      <c r="H37" s="313" t="n">
        <v>31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5027</v>
      </c>
      <c r="C38" s="313" t="n">
        <v>80</v>
      </c>
      <c r="D38" s="313" t="n">
        <v>18.4</v>
      </c>
      <c r="E38" s="313" t="n">
        <v>26</v>
      </c>
      <c r="F38" s="313" t="n">
        <v>22</v>
      </c>
      <c r="G38" s="313" t="n">
        <v>20.2</v>
      </c>
      <c r="H38" s="313" t="n">
        <v>28.5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5027</v>
      </c>
      <c r="C39" s="313" t="n">
        <v>100</v>
      </c>
      <c r="D39" s="313" t="n">
        <v>18.4</v>
      </c>
      <c r="E39" s="313" t="n">
        <v>26</v>
      </c>
      <c r="F39" s="313" t="n">
        <v>22</v>
      </c>
      <c r="G39" s="313" t="n">
        <v>28.5</v>
      </c>
      <c r="H39" s="313" t="n">
        <v>44.5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5029</v>
      </c>
      <c r="C40" s="313" t="n">
        <v>100</v>
      </c>
      <c r="D40" s="313" t="n">
        <v>28.5</v>
      </c>
      <c r="E40" s="313" t="n">
        <v>40.3</v>
      </c>
      <c r="F40" s="313" t="n">
        <v>32</v>
      </c>
      <c r="G40" s="313" t="n">
        <v>28.5</v>
      </c>
      <c r="H40" s="313" t="n">
        <v>42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5029</v>
      </c>
      <c r="C41" s="313" t="n">
        <v>130</v>
      </c>
      <c r="D41" s="313" t="n">
        <v>28.5</v>
      </c>
      <c r="E41" s="313" t="n">
        <v>40.3</v>
      </c>
      <c r="F41" s="313" t="n">
        <v>32</v>
      </c>
      <c r="G41" s="313" t="n">
        <v>42.8</v>
      </c>
      <c r="H41" s="313" t="n">
        <v>71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5031</v>
      </c>
      <c r="C42" s="313" t="n">
        <v>125</v>
      </c>
      <c r="D42" s="313" t="n">
        <v>44</v>
      </c>
      <c r="E42" s="313" t="n">
        <v>62.3</v>
      </c>
      <c r="F42" s="313" t="n">
        <v>55.7</v>
      </c>
      <c r="G42" s="313" t="n">
        <v>40.8</v>
      </c>
      <c r="H42" s="313" t="n">
        <v>65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13" t="s">
        <v>5031</v>
      </c>
      <c r="C43" s="313" t="n">
        <v>160</v>
      </c>
      <c r="D43" s="313" t="n">
        <v>44</v>
      </c>
      <c r="E43" s="313" t="n">
        <v>62.3</v>
      </c>
      <c r="F43" s="313" t="n">
        <v>55.7</v>
      </c>
      <c r="G43" s="313" t="n">
        <v>59</v>
      </c>
      <c r="H43" s="313" t="n">
        <v>107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13" t="s">
        <v>5033</v>
      </c>
      <c r="C44" s="313" t="n">
        <v>155</v>
      </c>
      <c r="D44" s="313" t="n">
        <v>59</v>
      </c>
      <c r="E44" s="313" t="n">
        <v>83.5</v>
      </c>
      <c r="F44" s="313" t="n">
        <v>74</v>
      </c>
      <c r="G44" s="313" t="n">
        <v>55</v>
      </c>
      <c r="H44" s="313" t="n">
        <v>90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13" t="s">
        <v>5033</v>
      </c>
      <c r="C45" s="313" t="n">
        <v>200</v>
      </c>
      <c r="D45" s="313" t="n">
        <v>59</v>
      </c>
      <c r="E45" s="313" t="n">
        <v>83.5</v>
      </c>
      <c r="F45" s="313" t="n">
        <v>74</v>
      </c>
      <c r="G45" s="313" t="n">
        <v>80</v>
      </c>
      <c r="H45" s="313" t="n">
        <v>150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13" t="s">
        <v>5185</v>
      </c>
      <c r="C46" s="313" t="n">
        <v>190</v>
      </c>
      <c r="D46" s="313" t="n">
        <v>85</v>
      </c>
      <c r="E46" s="313" t="n">
        <v>120</v>
      </c>
      <c r="F46" s="313" t="n">
        <v>106</v>
      </c>
      <c r="G46" s="313" t="n">
        <v>72</v>
      </c>
      <c r="H46" s="313" t="n">
        <v>120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13" t="s">
        <v>5185</v>
      </c>
      <c r="C47" s="313" t="n">
        <v>250</v>
      </c>
      <c r="D47" s="313" t="n">
        <v>85</v>
      </c>
      <c r="E47" s="313" t="n">
        <v>120</v>
      </c>
      <c r="F47" s="313" t="n">
        <v>106</v>
      </c>
      <c r="G47" s="313" t="n">
        <v>110</v>
      </c>
      <c r="H47" s="313" t="n">
        <v>200</v>
      </c>
      <c r="I47" s="2"/>
      <c r="J47" s="2"/>
      <c r="K47" s="2"/>
      <c r="L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30" hidden="false" customHeight="true" outlineLevel="0" collapsed="false">
      <c r="A49" s="2"/>
      <c r="B49" s="311" t="s">
        <v>5212</v>
      </c>
      <c r="C49" s="311"/>
      <c r="D49" s="311"/>
      <c r="E49" s="311"/>
      <c r="F49" s="311"/>
      <c r="G49" s="311"/>
      <c r="H49" s="311"/>
      <c r="I49" s="311"/>
      <c r="J49" s="311"/>
      <c r="K49" s="311"/>
      <c r="L49" s="311"/>
    </row>
    <row r="50" customFormat="false" ht="30" hidden="false" customHeight="true" outlineLevel="0" collapsed="false">
      <c r="A50" s="2"/>
      <c r="B50" s="312" t="s">
        <v>5327</v>
      </c>
      <c r="C50" s="312" t="s">
        <v>5349</v>
      </c>
      <c r="D50" s="312" t="s">
        <v>5350</v>
      </c>
      <c r="E50" s="312" t="s">
        <v>5061</v>
      </c>
      <c r="F50" s="312" t="s">
        <v>5351</v>
      </c>
      <c r="G50" s="2"/>
      <c r="H50" s="2"/>
      <c r="I50" s="2"/>
      <c r="J50" s="2"/>
      <c r="K50" s="2"/>
      <c r="L50" s="2"/>
    </row>
    <row r="51" customFormat="false" ht="18" hidden="false" customHeight="true" outlineLevel="0" collapsed="false">
      <c r="A51" s="2"/>
      <c r="B51" s="313" t="s">
        <v>5025</v>
      </c>
      <c r="C51" s="313" t="n">
        <v>8.2</v>
      </c>
      <c r="D51" s="313" t="n">
        <v>11.7</v>
      </c>
      <c r="E51" s="313" t="n">
        <v>10</v>
      </c>
      <c r="F51" s="313" t="s">
        <v>524</v>
      </c>
      <c r="G51" s="2"/>
      <c r="H51" s="2"/>
      <c r="I51" s="2"/>
      <c r="J51" s="2"/>
      <c r="K51" s="2"/>
      <c r="L51" s="2"/>
    </row>
    <row r="52" customFormat="false" ht="18" hidden="false" customHeight="true" outlineLevel="0" collapsed="false">
      <c r="A52" s="2"/>
      <c r="B52" s="313" t="s">
        <v>5027</v>
      </c>
      <c r="C52" s="313" t="n">
        <v>12.8</v>
      </c>
      <c r="D52" s="313" t="n">
        <v>18.1</v>
      </c>
      <c r="E52" s="313" t="n">
        <v>15.8</v>
      </c>
      <c r="F52" s="313" t="s">
        <v>524</v>
      </c>
      <c r="G52" s="2"/>
      <c r="H52" s="2"/>
      <c r="I52" s="2"/>
      <c r="J52" s="2"/>
      <c r="K52" s="2"/>
      <c r="L52" s="2"/>
    </row>
    <row r="53" customFormat="false" ht="18" hidden="false" customHeight="true" outlineLevel="0" collapsed="false">
      <c r="A53" s="2"/>
      <c r="B53" s="313" t="s">
        <v>5029</v>
      </c>
      <c r="C53" s="313" t="n">
        <v>20</v>
      </c>
      <c r="D53" s="313" t="n">
        <v>28.3</v>
      </c>
      <c r="E53" s="313" t="n">
        <v>22.5</v>
      </c>
      <c r="F53" s="313" t="n">
        <v>34</v>
      </c>
      <c r="G53" s="2"/>
      <c r="H53" s="2"/>
      <c r="I53" s="2"/>
      <c r="J53" s="2"/>
      <c r="K53" s="2"/>
      <c r="L53" s="2"/>
    </row>
    <row r="54" customFormat="false" ht="18" hidden="false" customHeight="true" outlineLevel="0" collapsed="false">
      <c r="A54" s="2"/>
      <c r="B54" s="313" t="s">
        <v>5031</v>
      </c>
      <c r="C54" s="313" t="n">
        <v>34</v>
      </c>
      <c r="D54" s="313" t="n">
        <v>48.2</v>
      </c>
      <c r="E54" s="313" t="n">
        <v>42.5</v>
      </c>
      <c r="F54" s="313" t="n">
        <v>58</v>
      </c>
      <c r="G54" s="2"/>
      <c r="H54" s="2"/>
      <c r="I54" s="2"/>
      <c r="J54" s="2"/>
      <c r="K54" s="2"/>
      <c r="L54" s="2"/>
    </row>
    <row r="55" customFormat="false" ht="18" hidden="false" customHeight="true" outlineLevel="0" collapsed="false">
      <c r="A55" s="2"/>
      <c r="B55" s="313" t="s">
        <v>5033</v>
      </c>
      <c r="C55" s="313" t="n">
        <v>55</v>
      </c>
      <c r="D55" s="313" t="n">
        <v>77.8</v>
      </c>
      <c r="E55" s="313" t="n">
        <v>68.8</v>
      </c>
      <c r="F55" s="313" t="n">
        <v>94</v>
      </c>
      <c r="G55" s="2"/>
      <c r="H55" s="2"/>
      <c r="I55" s="2"/>
      <c r="J55" s="2"/>
      <c r="K55" s="2"/>
      <c r="L55" s="2"/>
    </row>
    <row r="56" customFormat="false" ht="18" hidden="false" customHeight="true" outlineLevel="0" collapsed="false">
      <c r="A56" s="2"/>
      <c r="B56" s="313" t="s">
        <v>5185</v>
      </c>
      <c r="C56" s="313" t="n">
        <v>80</v>
      </c>
      <c r="D56" s="313" t="n">
        <v>113.3</v>
      </c>
      <c r="E56" s="313" t="n">
        <v>100</v>
      </c>
      <c r="F56" s="313" t="n">
        <v>136</v>
      </c>
      <c r="G56" s="2"/>
      <c r="H56" s="2"/>
      <c r="I56" s="2"/>
      <c r="J56" s="2"/>
      <c r="K56" s="2"/>
      <c r="L56" s="2"/>
    </row>
    <row r="57" customFormat="false" ht="1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customFormat="false" ht="30" hidden="false" customHeight="true" outlineLevel="0" collapsed="false">
      <c r="A58" s="2"/>
      <c r="B58" s="311" t="s">
        <v>5365</v>
      </c>
      <c r="C58" s="311"/>
      <c r="D58" s="311"/>
      <c r="E58" s="311"/>
      <c r="F58" s="311"/>
      <c r="G58" s="311"/>
      <c r="H58" s="311"/>
      <c r="I58" s="311"/>
      <c r="J58" s="311"/>
      <c r="K58" s="311"/>
      <c r="L58" s="311"/>
    </row>
    <row r="59" customFormat="false" ht="30" hidden="false" customHeight="true" outlineLevel="0" collapsed="false">
      <c r="A59" s="2"/>
      <c r="B59" s="312" t="s">
        <v>5366</v>
      </c>
      <c r="C59" s="312" t="s">
        <v>4797</v>
      </c>
      <c r="D59" s="312" t="s">
        <v>4795</v>
      </c>
      <c r="E59" s="312" t="s">
        <v>913</v>
      </c>
      <c r="F59" s="2"/>
      <c r="G59" s="2"/>
      <c r="H59" s="2"/>
      <c r="I59" s="2"/>
      <c r="J59" s="2"/>
      <c r="K59" s="2"/>
      <c r="L59" s="2"/>
    </row>
    <row r="60" customFormat="false" ht="30" hidden="false" customHeight="true" outlineLevel="0" collapsed="false">
      <c r="A60" s="2"/>
      <c r="B60" s="313" t="s">
        <v>5368</v>
      </c>
      <c r="C60" s="313" t="s">
        <v>5369</v>
      </c>
      <c r="D60" s="313" t="s">
        <v>5370</v>
      </c>
      <c r="E60" s="313" t="s">
        <v>5371</v>
      </c>
      <c r="F60" s="2"/>
      <c r="G60" s="2"/>
      <c r="H60" s="2"/>
      <c r="I60" s="2"/>
      <c r="J60" s="2"/>
      <c r="K60" s="2"/>
      <c r="L60" s="2"/>
    </row>
    <row r="61" customFormat="false" ht="30" hidden="false" customHeight="true" outlineLevel="0" collapsed="false">
      <c r="A61" s="2"/>
      <c r="B61" s="313" t="s">
        <v>5373</v>
      </c>
      <c r="C61" s="313" t="s">
        <v>5374</v>
      </c>
      <c r="D61" s="313" t="s">
        <v>5375</v>
      </c>
      <c r="E61" s="313" t="s">
        <v>5376</v>
      </c>
      <c r="F61" s="2"/>
      <c r="G61" s="2"/>
      <c r="H61" s="2"/>
      <c r="I61" s="2"/>
      <c r="J61" s="2"/>
      <c r="K61" s="2"/>
      <c r="L61" s="2"/>
    </row>
    <row r="62" customFormat="false" ht="45" hidden="false" customHeight="true" outlineLevel="0" collapsed="false">
      <c r="A62" s="2"/>
      <c r="B62" s="313" t="s">
        <v>5378</v>
      </c>
      <c r="C62" s="313" t="s">
        <v>5374</v>
      </c>
      <c r="D62" s="313" t="s">
        <v>5375</v>
      </c>
      <c r="E62" s="313" t="s">
        <v>5379</v>
      </c>
      <c r="F62" s="2"/>
      <c r="G62" s="2"/>
      <c r="H62" s="2"/>
      <c r="I62" s="2"/>
      <c r="J62" s="2"/>
      <c r="K62" s="2"/>
      <c r="L62" s="2"/>
    </row>
    <row r="63" customFormat="false" ht="45" hidden="false" customHeight="true" outlineLevel="0" collapsed="false">
      <c r="A63" s="2"/>
      <c r="B63" s="313" t="s">
        <v>5381</v>
      </c>
      <c r="C63" s="313" t="s">
        <v>5374</v>
      </c>
      <c r="D63" s="313" t="s">
        <v>5375</v>
      </c>
      <c r="E63" s="313" t="s">
        <v>5382</v>
      </c>
      <c r="F63" s="2"/>
      <c r="G63" s="2"/>
      <c r="H63" s="2"/>
      <c r="I63" s="2"/>
      <c r="J63" s="2"/>
      <c r="K63" s="2"/>
      <c r="L63" s="2"/>
    </row>
    <row r="64" customFormat="false" ht="30" hidden="false" customHeight="true" outlineLevel="0" collapsed="false">
      <c r="A64" s="2"/>
      <c r="B64" s="313" t="s">
        <v>5384</v>
      </c>
      <c r="C64" s="313" t="s">
        <v>5385</v>
      </c>
      <c r="D64" s="313" t="s">
        <v>524</v>
      </c>
      <c r="E64" s="313" t="s">
        <v>5386</v>
      </c>
      <c r="F64" s="2"/>
      <c r="G64" s="2"/>
      <c r="H64" s="2"/>
      <c r="I64" s="2"/>
      <c r="J64" s="2"/>
      <c r="K64" s="2"/>
      <c r="L64" s="2"/>
    </row>
    <row r="65" customFormat="false" ht="45" hidden="false" customHeight="true" outlineLevel="0" collapsed="false">
      <c r="A65" s="2"/>
      <c r="B65" s="313" t="s">
        <v>5388</v>
      </c>
      <c r="C65" s="313" t="s">
        <v>5374</v>
      </c>
      <c r="D65" s="313" t="s">
        <v>5389</v>
      </c>
      <c r="E65" s="313" t="s">
        <v>5390</v>
      </c>
      <c r="F65" s="2"/>
      <c r="G65" s="2"/>
      <c r="H65" s="2"/>
      <c r="I65" s="2"/>
      <c r="J65" s="2"/>
      <c r="K65" s="2"/>
      <c r="L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customFormat="false" ht="30" hidden="false" customHeight="true" outlineLevel="0" collapsed="false">
      <c r="A67" s="2"/>
      <c r="B67" s="311" t="s">
        <v>5150</v>
      </c>
      <c r="C67" s="311"/>
      <c r="D67" s="311"/>
      <c r="E67" s="311"/>
      <c r="F67" s="311"/>
      <c r="G67" s="311"/>
      <c r="H67" s="311"/>
      <c r="I67" s="311"/>
      <c r="J67" s="311"/>
      <c r="K67" s="311"/>
      <c r="L67" s="311"/>
    </row>
    <row r="68" customFormat="false" ht="60" hidden="false" customHeight="true" outlineLevel="0" collapsed="false">
      <c r="A68" s="2"/>
      <c r="B68" s="314" t="s">
        <v>5392</v>
      </c>
      <c r="C68" s="314"/>
      <c r="D68" s="314"/>
      <c r="E68" s="314"/>
      <c r="F68" s="314"/>
      <c r="G68" s="314"/>
      <c r="H68" s="314"/>
      <c r="I68" s="314"/>
      <c r="J68" s="314"/>
      <c r="K68" s="314"/>
      <c r="L68" s="314"/>
    </row>
    <row r="69" customFormat="false" ht="60" hidden="false" customHeight="true" outlineLevel="0" collapsed="false">
      <c r="A69" s="2"/>
      <c r="B69" s="314" t="s">
        <v>5393</v>
      </c>
      <c r="C69" s="314"/>
      <c r="D69" s="314"/>
      <c r="E69" s="314"/>
      <c r="F69" s="314"/>
      <c r="G69" s="314"/>
      <c r="H69" s="314"/>
      <c r="I69" s="314"/>
      <c r="J69" s="314"/>
      <c r="K69" s="314"/>
      <c r="L69" s="314"/>
    </row>
    <row r="70" customFormat="false" ht="60" hidden="false" customHeight="true" outlineLevel="0" collapsed="false">
      <c r="A70" s="2"/>
      <c r="B70" s="314" t="s">
        <v>5394</v>
      </c>
      <c r="C70" s="314"/>
      <c r="D70" s="314"/>
      <c r="E70" s="314"/>
      <c r="F70" s="314"/>
      <c r="G70" s="314"/>
      <c r="H70" s="314"/>
      <c r="I70" s="314"/>
      <c r="J70" s="314"/>
      <c r="K70" s="314"/>
      <c r="L70" s="314"/>
    </row>
    <row r="71" customFormat="false" ht="45" hidden="false" customHeight="true" outlineLevel="0" collapsed="false">
      <c r="A71" s="2"/>
      <c r="B71" s="314" t="s">
        <v>5395</v>
      </c>
      <c r="C71" s="314"/>
      <c r="D71" s="314"/>
      <c r="E71" s="314"/>
      <c r="F71" s="314"/>
      <c r="G71" s="314"/>
      <c r="H71" s="314"/>
      <c r="I71" s="314"/>
      <c r="J71" s="314"/>
      <c r="K71" s="314"/>
      <c r="L71" s="314"/>
    </row>
    <row r="72" customFormat="false" ht="60" hidden="false" customHeight="true" outlineLevel="0" collapsed="false">
      <c r="A72" s="2"/>
      <c r="B72" s="314" t="s">
        <v>5396</v>
      </c>
      <c r="C72" s="314"/>
      <c r="D72" s="314"/>
      <c r="E72" s="314"/>
      <c r="F72" s="314"/>
      <c r="G72" s="314"/>
      <c r="H72" s="314"/>
      <c r="I72" s="314"/>
      <c r="J72" s="314"/>
      <c r="K72" s="314"/>
      <c r="L72" s="314"/>
    </row>
    <row r="73" customFormat="false" ht="45" hidden="false" customHeight="true" outlineLevel="0" collapsed="false">
      <c r="A73" s="2"/>
      <c r="B73" s="314" t="s">
        <v>5397</v>
      </c>
      <c r="C73" s="314"/>
      <c r="D73" s="314"/>
      <c r="E73" s="314"/>
      <c r="F73" s="314"/>
      <c r="G73" s="314"/>
      <c r="H73" s="314"/>
      <c r="I73" s="314"/>
      <c r="J73" s="314"/>
      <c r="K73" s="314"/>
      <c r="L73" s="314"/>
    </row>
    <row r="74" customFormat="false" ht="1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customFormat="false" ht="60" hidden="false" customHeight="true" outlineLevel="0" collapsed="false">
      <c r="A75" s="2"/>
      <c r="B75" s="60" t="s">
        <v>5398</v>
      </c>
      <c r="C75" s="2"/>
      <c r="D75" s="2"/>
      <c r="E75" s="2"/>
      <c r="F75" s="2"/>
      <c r="G75" s="2"/>
      <c r="H75" s="2"/>
      <c r="I75" s="2"/>
      <c r="J75" s="2"/>
      <c r="K75" s="2"/>
      <c r="L75" s="2"/>
    </row>
  </sheetData>
  <mergeCells count="16">
    <mergeCell ref="B2:L2"/>
    <mergeCell ref="B3:L3"/>
    <mergeCell ref="B4:L4"/>
    <mergeCell ref="B6:L6"/>
    <mergeCell ref="B16:L16"/>
    <mergeCell ref="B27:L27"/>
    <mergeCell ref="B34:L34"/>
    <mergeCell ref="B49:L49"/>
    <mergeCell ref="B58:L58"/>
    <mergeCell ref="B67:L67"/>
    <mergeCell ref="B68:L68"/>
    <mergeCell ref="B69:L69"/>
    <mergeCell ref="B70:L70"/>
    <mergeCell ref="B71:L71"/>
    <mergeCell ref="B72:L72"/>
    <mergeCell ref="B73:L7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6" min="3" style="1" width="12"/>
    <col collapsed="false" customWidth="true" hidden="false" outlineLevel="0" max="7" min="7" style="1" width="14"/>
    <col collapsed="false" customWidth="true" hidden="false" outlineLevel="0" max="12" min="8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299" t="s">
        <v>5399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5400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60" hidden="false" customHeight="true" outlineLevel="0" collapsed="false">
      <c r="A4" s="2"/>
      <c r="B4" s="4" t="s">
        <v>5401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5402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5403</v>
      </c>
      <c r="C7" s="312" t="s">
        <v>5404</v>
      </c>
      <c r="D7" s="312" t="s">
        <v>5405</v>
      </c>
      <c r="E7" s="312" t="s">
        <v>5406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13" t="s">
        <v>5408</v>
      </c>
      <c r="C8" s="313" t="s">
        <v>5409</v>
      </c>
      <c r="D8" s="313" t="s">
        <v>5410</v>
      </c>
      <c r="E8" s="313" t="s">
        <v>5411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13" t="s">
        <v>5413</v>
      </c>
      <c r="C9" s="313" t="s">
        <v>5414</v>
      </c>
      <c r="D9" s="313" t="s">
        <v>5410</v>
      </c>
      <c r="E9" s="313" t="s">
        <v>5415</v>
      </c>
      <c r="F9" s="2"/>
      <c r="G9" s="2"/>
      <c r="H9" s="2"/>
      <c r="I9" s="2"/>
      <c r="J9" s="2"/>
      <c r="K9" s="2"/>
      <c r="L9" s="2"/>
    </row>
    <row r="10" customFormat="false" ht="60" hidden="false" customHeight="true" outlineLevel="0" collapsed="false">
      <c r="A10" s="2"/>
      <c r="B10" s="313" t="s">
        <v>5417</v>
      </c>
      <c r="C10" s="313" t="s">
        <v>5418</v>
      </c>
      <c r="D10" s="313" t="s">
        <v>5419</v>
      </c>
      <c r="E10" s="313" t="s">
        <v>5420</v>
      </c>
      <c r="F10" s="2"/>
      <c r="G10" s="2"/>
      <c r="H10" s="2"/>
      <c r="I10" s="2"/>
      <c r="J10" s="2"/>
      <c r="K10" s="2"/>
      <c r="L10" s="2"/>
    </row>
    <row r="11" customFormat="false" ht="60" hidden="false" customHeight="true" outlineLevel="0" collapsed="false">
      <c r="A11" s="2"/>
      <c r="B11" s="313" t="s">
        <v>5422</v>
      </c>
      <c r="C11" s="313" t="s">
        <v>5423</v>
      </c>
      <c r="D11" s="313" t="s">
        <v>5410</v>
      </c>
      <c r="E11" s="313" t="s">
        <v>5424</v>
      </c>
      <c r="F11" s="2"/>
      <c r="G11" s="2"/>
      <c r="H11" s="2"/>
      <c r="I11" s="2"/>
      <c r="J11" s="2"/>
      <c r="K11" s="2"/>
      <c r="L11" s="2"/>
    </row>
    <row r="12" customFormat="false" ht="30" hidden="false" customHeight="true" outlineLevel="0" collapsed="false">
      <c r="A12" s="2"/>
      <c r="B12" s="313" t="s">
        <v>5426</v>
      </c>
      <c r="C12" s="313" t="s">
        <v>5427</v>
      </c>
      <c r="D12" s="313" t="s">
        <v>5410</v>
      </c>
      <c r="E12" s="313" t="s">
        <v>5428</v>
      </c>
      <c r="F12" s="2"/>
      <c r="G12" s="2"/>
      <c r="H12" s="2"/>
      <c r="I12" s="2"/>
      <c r="J12" s="2"/>
      <c r="K12" s="2"/>
      <c r="L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30" hidden="false" customHeight="true" outlineLevel="0" collapsed="false">
      <c r="A14" s="2"/>
      <c r="B14" s="311" t="s">
        <v>5430</v>
      </c>
      <c r="C14" s="311"/>
      <c r="D14" s="311"/>
      <c r="E14" s="311"/>
      <c r="F14" s="311"/>
      <c r="G14" s="311"/>
      <c r="H14" s="311"/>
      <c r="I14" s="311"/>
      <c r="J14" s="311"/>
      <c r="K14" s="311"/>
      <c r="L14" s="311"/>
    </row>
    <row r="15" customFormat="false" ht="30" hidden="false" customHeight="true" outlineLevel="0" collapsed="false">
      <c r="A15" s="2"/>
      <c r="B15" s="312" t="s">
        <v>5017</v>
      </c>
      <c r="C15" s="312" t="s">
        <v>5018</v>
      </c>
      <c r="D15" s="312" t="s">
        <v>5036</v>
      </c>
      <c r="E15" s="312" t="s">
        <v>5078</v>
      </c>
      <c r="F15" s="312" t="s">
        <v>5431</v>
      </c>
      <c r="G15" s="312" t="s">
        <v>6003</v>
      </c>
      <c r="H15" s="312" t="s">
        <v>5979</v>
      </c>
      <c r="I15" s="2"/>
      <c r="J15" s="2"/>
      <c r="K15" s="2"/>
      <c r="L15" s="2"/>
    </row>
    <row r="16" customFormat="false" ht="18" hidden="false" customHeight="true" outlineLevel="0" collapsed="false">
      <c r="A16" s="2"/>
      <c r="B16" s="313" t="s">
        <v>5023</v>
      </c>
      <c r="C16" s="313" t="n">
        <v>10</v>
      </c>
      <c r="D16" s="313" t="n">
        <v>40</v>
      </c>
      <c r="E16" s="313" t="n">
        <v>80</v>
      </c>
      <c r="F16" s="313" t="n">
        <v>10</v>
      </c>
      <c r="G16" s="313" t="n">
        <v>10</v>
      </c>
      <c r="H16" s="313" t="n">
        <v>10</v>
      </c>
      <c r="I16" s="2"/>
      <c r="J16" s="2"/>
      <c r="K16" s="2"/>
      <c r="L16" s="2"/>
    </row>
    <row r="17" customFormat="false" ht="18" hidden="false" customHeight="true" outlineLevel="0" collapsed="false">
      <c r="A17" s="2"/>
      <c r="B17" s="313" t="s">
        <v>5025</v>
      </c>
      <c r="C17" s="313" t="n">
        <v>12</v>
      </c>
      <c r="D17" s="313" t="n">
        <v>50</v>
      </c>
      <c r="E17" s="313" t="n">
        <v>100</v>
      </c>
      <c r="F17" s="313" t="n">
        <v>25</v>
      </c>
      <c r="G17" s="313" t="n">
        <v>20</v>
      </c>
      <c r="H17" s="313" t="n">
        <v>13</v>
      </c>
      <c r="I17" s="2"/>
      <c r="J17" s="2"/>
      <c r="K17" s="2"/>
      <c r="L17" s="2"/>
    </row>
    <row r="18" customFormat="false" ht="18" hidden="false" customHeight="true" outlineLevel="0" collapsed="false">
      <c r="A18" s="2"/>
      <c r="B18" s="313" t="s">
        <v>5027</v>
      </c>
      <c r="C18" s="313" t="n">
        <v>15</v>
      </c>
      <c r="D18" s="313" t="n">
        <v>60</v>
      </c>
      <c r="E18" s="313" t="n">
        <v>110</v>
      </c>
      <c r="F18" s="313" t="n">
        <v>40</v>
      </c>
      <c r="G18" s="313" t="n">
        <v>30</v>
      </c>
      <c r="H18" s="313" t="n">
        <v>17</v>
      </c>
      <c r="I18" s="2"/>
      <c r="J18" s="2"/>
      <c r="K18" s="2"/>
      <c r="L18" s="2"/>
    </row>
    <row r="19" customFormat="false" ht="18" hidden="false" customHeight="true" outlineLevel="0" collapsed="false">
      <c r="A19" s="2"/>
      <c r="B19" s="313" t="s">
        <v>5029</v>
      </c>
      <c r="C19" s="313" t="n">
        <v>18</v>
      </c>
      <c r="D19" s="313" t="n">
        <v>75</v>
      </c>
      <c r="E19" s="313" t="n">
        <v>120</v>
      </c>
      <c r="F19" s="313" t="n">
        <v>60</v>
      </c>
      <c r="G19" s="313" t="n">
        <v>50</v>
      </c>
      <c r="H19" s="313" t="n">
        <v>19</v>
      </c>
      <c r="I19" s="2"/>
      <c r="J19" s="2"/>
      <c r="K19" s="2"/>
      <c r="L19" s="2"/>
    </row>
    <row r="20" customFormat="false" ht="18" hidden="false" customHeight="true" outlineLevel="0" collapsed="false">
      <c r="A20" s="2"/>
      <c r="B20" s="313" t="s">
        <v>5031</v>
      </c>
      <c r="C20" s="313" t="n">
        <v>24</v>
      </c>
      <c r="D20" s="313" t="n">
        <v>100</v>
      </c>
      <c r="E20" s="313" t="n">
        <v>150</v>
      </c>
      <c r="F20" s="313" t="n">
        <v>100</v>
      </c>
      <c r="G20" s="313" t="n">
        <v>80</v>
      </c>
      <c r="H20" s="313" t="n">
        <v>24</v>
      </c>
      <c r="I20" s="2"/>
      <c r="J20" s="2"/>
      <c r="K20" s="2"/>
      <c r="L20" s="2"/>
    </row>
    <row r="21" customFormat="false" ht="18" hidden="false" customHeight="true" outlineLevel="0" collapsed="false">
      <c r="A21" s="2"/>
      <c r="B21" s="313" t="s">
        <v>5033</v>
      </c>
      <c r="C21" s="313" t="n">
        <v>28</v>
      </c>
      <c r="D21" s="313" t="n">
        <v>125</v>
      </c>
      <c r="E21" s="313" t="n">
        <v>180</v>
      </c>
      <c r="F21" s="313" t="n">
        <v>150</v>
      </c>
      <c r="G21" s="313" t="n">
        <v>120</v>
      </c>
      <c r="H21" s="313" t="n">
        <v>30</v>
      </c>
      <c r="I21" s="2"/>
      <c r="J21" s="2"/>
      <c r="K21" s="2"/>
      <c r="L21" s="2"/>
    </row>
    <row r="22" customFormat="false" ht="18" hidden="false" customHeight="true" outlineLevel="0" collapsed="false">
      <c r="A22" s="2"/>
      <c r="B22" s="313" t="s">
        <v>5185</v>
      </c>
      <c r="C22" s="313" t="n">
        <v>32</v>
      </c>
      <c r="D22" s="313" t="n">
        <v>150</v>
      </c>
      <c r="E22" s="313" t="n">
        <v>210</v>
      </c>
      <c r="F22" s="313" t="n">
        <v>180</v>
      </c>
      <c r="G22" s="313" t="n">
        <v>150</v>
      </c>
      <c r="H22" s="313" t="n">
        <v>36</v>
      </c>
      <c r="I22" s="2"/>
      <c r="J22" s="2"/>
      <c r="K22" s="2"/>
      <c r="L22" s="2"/>
    </row>
    <row r="23" customFormat="false" ht="1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customFormat="false" ht="45" hidden="false" customHeight="true" outlineLevel="0" collapsed="false">
      <c r="A24" s="2"/>
      <c r="B24" s="311" t="s">
        <v>5440</v>
      </c>
      <c r="C24" s="311"/>
      <c r="D24" s="311"/>
      <c r="E24" s="311"/>
      <c r="F24" s="311"/>
      <c r="G24" s="311"/>
      <c r="H24" s="311"/>
      <c r="I24" s="311"/>
      <c r="J24" s="311"/>
      <c r="K24" s="311"/>
      <c r="L24" s="311"/>
    </row>
    <row r="25" customFormat="false" ht="30" hidden="false" customHeight="true" outlineLevel="0" collapsed="false">
      <c r="A25" s="2"/>
      <c r="B25" s="312" t="s">
        <v>5017</v>
      </c>
      <c r="C25" s="312" t="s">
        <v>5441</v>
      </c>
      <c r="D25" s="312" t="s">
        <v>5039</v>
      </c>
      <c r="E25" s="312" t="s">
        <v>5442</v>
      </c>
      <c r="F25" s="312" t="s">
        <v>5443</v>
      </c>
      <c r="G25" s="312" t="s">
        <v>6004</v>
      </c>
      <c r="H25" s="2"/>
      <c r="I25" s="2"/>
      <c r="J25" s="2"/>
      <c r="K25" s="2"/>
      <c r="L25" s="2"/>
    </row>
    <row r="26" customFormat="false" ht="18" hidden="false" customHeight="true" outlineLevel="0" collapsed="false">
      <c r="A26" s="2"/>
      <c r="B26" s="313" t="s">
        <v>5023</v>
      </c>
      <c r="C26" s="313" t="n">
        <v>10.7</v>
      </c>
      <c r="D26" s="313" t="n">
        <v>8.3</v>
      </c>
      <c r="E26" s="313" t="n">
        <v>8.3</v>
      </c>
      <c r="F26" s="313" t="n">
        <v>8.5</v>
      </c>
      <c r="G26" s="313" t="n">
        <v>8.5</v>
      </c>
      <c r="H26" s="2"/>
      <c r="I26" s="2"/>
      <c r="J26" s="2"/>
      <c r="K26" s="2"/>
      <c r="L26" s="2"/>
    </row>
    <row r="27" customFormat="false" ht="18" hidden="false" customHeight="true" outlineLevel="0" collapsed="false">
      <c r="A27" s="2"/>
      <c r="B27" s="313" t="s">
        <v>5025</v>
      </c>
      <c r="C27" s="313" t="n">
        <v>18</v>
      </c>
      <c r="D27" s="313" t="n">
        <v>13.4</v>
      </c>
      <c r="E27" s="313" t="n">
        <v>13.4</v>
      </c>
      <c r="F27" s="313" t="n">
        <v>17</v>
      </c>
      <c r="G27" s="313" t="n">
        <v>17</v>
      </c>
      <c r="H27" s="2"/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5027</v>
      </c>
      <c r="C28" s="313" t="n">
        <v>27.7</v>
      </c>
      <c r="D28" s="313" t="n">
        <v>19.4</v>
      </c>
      <c r="E28" s="313" t="n">
        <v>19.4</v>
      </c>
      <c r="F28" s="313" t="n">
        <v>30.8</v>
      </c>
      <c r="G28" s="313" t="n">
        <v>30.8</v>
      </c>
      <c r="H28" s="2"/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5029</v>
      </c>
      <c r="C29" s="313" t="n">
        <v>44</v>
      </c>
      <c r="D29" s="313" t="n">
        <v>28</v>
      </c>
      <c r="E29" s="313" t="n">
        <v>28</v>
      </c>
      <c r="F29" s="313" t="n">
        <v>44.5</v>
      </c>
      <c r="G29" s="313" t="n">
        <v>44.5</v>
      </c>
      <c r="H29" s="2"/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5031</v>
      </c>
      <c r="C30" s="313" t="n">
        <v>74</v>
      </c>
      <c r="D30" s="313" t="n">
        <v>44.6</v>
      </c>
      <c r="E30" s="313" t="n">
        <v>44.6</v>
      </c>
      <c r="F30" s="313" t="n">
        <v>79.2</v>
      </c>
      <c r="G30" s="313" t="n">
        <v>79.2</v>
      </c>
      <c r="H30" s="2"/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5033</v>
      </c>
      <c r="C31" s="313" t="n">
        <v>100</v>
      </c>
      <c r="D31" s="313" t="n">
        <v>60.3</v>
      </c>
      <c r="E31" s="313" t="n">
        <v>60.3</v>
      </c>
      <c r="F31" s="313" t="n">
        <v>123.7</v>
      </c>
      <c r="G31" s="313" t="n">
        <v>123.7</v>
      </c>
      <c r="H31" s="2"/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5185</v>
      </c>
      <c r="C32" s="313" t="n">
        <v>188</v>
      </c>
      <c r="D32" s="313" t="n">
        <v>60.3</v>
      </c>
      <c r="E32" s="313" t="n">
        <v>60.3</v>
      </c>
      <c r="F32" s="313" t="n">
        <v>123.7</v>
      </c>
      <c r="G32" s="313" t="n">
        <v>123.7</v>
      </c>
      <c r="H32" s="2"/>
      <c r="I32" s="2"/>
      <c r="J32" s="2"/>
      <c r="K32" s="2"/>
      <c r="L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customFormat="false" ht="45" hidden="false" customHeight="true" outlineLevel="0" collapsed="false">
      <c r="A34" s="2"/>
      <c r="B34" s="311" t="s">
        <v>5458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</row>
    <row r="35" customFormat="false" ht="30" hidden="false" customHeight="true" outlineLevel="0" collapsed="false">
      <c r="A35" s="2"/>
      <c r="B35" s="312" t="s">
        <v>5017</v>
      </c>
      <c r="C35" s="312" t="s">
        <v>5441</v>
      </c>
      <c r="D35" s="312" t="s">
        <v>5039</v>
      </c>
      <c r="E35" s="312" t="s">
        <v>5442</v>
      </c>
      <c r="F35" s="312" t="s">
        <v>5443</v>
      </c>
      <c r="G35" s="312" t="s">
        <v>6004</v>
      </c>
      <c r="H35" s="2"/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5023</v>
      </c>
      <c r="C36" s="313" t="n">
        <v>10.7</v>
      </c>
      <c r="D36" s="313" t="n">
        <v>5</v>
      </c>
      <c r="E36" s="313" t="n">
        <v>5</v>
      </c>
      <c r="F36" s="313" t="n">
        <v>6.1</v>
      </c>
      <c r="G36" s="313" t="n">
        <v>6.1</v>
      </c>
      <c r="H36" s="2"/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5025</v>
      </c>
      <c r="C37" s="313" t="n">
        <v>18</v>
      </c>
      <c r="D37" s="313" t="n">
        <v>8.4</v>
      </c>
      <c r="E37" s="313" t="n">
        <v>8.4</v>
      </c>
      <c r="F37" s="313" t="n">
        <v>12.1</v>
      </c>
      <c r="G37" s="313" t="n">
        <v>12.1</v>
      </c>
      <c r="H37" s="2"/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5027</v>
      </c>
      <c r="C38" s="313" t="n">
        <v>27.7</v>
      </c>
      <c r="D38" s="313" t="n">
        <v>12.1</v>
      </c>
      <c r="E38" s="313" t="n">
        <v>12.1</v>
      </c>
      <c r="F38" s="313" t="n">
        <v>22</v>
      </c>
      <c r="G38" s="313" t="n">
        <v>22</v>
      </c>
      <c r="H38" s="2"/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5029</v>
      </c>
      <c r="C39" s="313" t="n">
        <v>44</v>
      </c>
      <c r="D39" s="313" t="n">
        <v>17.5</v>
      </c>
      <c r="E39" s="313" t="n">
        <v>17.5</v>
      </c>
      <c r="F39" s="313" t="n">
        <v>31.7</v>
      </c>
      <c r="G39" s="313" t="n">
        <v>31.7</v>
      </c>
      <c r="H39" s="2"/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5031</v>
      </c>
      <c r="C40" s="313" t="n">
        <v>74</v>
      </c>
      <c r="D40" s="313" t="n">
        <v>27.9</v>
      </c>
      <c r="E40" s="313" t="n">
        <v>27.9</v>
      </c>
      <c r="F40" s="313" t="n">
        <v>56.5</v>
      </c>
      <c r="G40" s="313" t="n">
        <v>56.5</v>
      </c>
      <c r="H40" s="2"/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5033</v>
      </c>
      <c r="C41" s="313" t="n">
        <v>100</v>
      </c>
      <c r="D41" s="313" t="n">
        <v>42.2</v>
      </c>
      <c r="E41" s="313" t="n">
        <v>42.2</v>
      </c>
      <c r="F41" s="313" t="n">
        <v>88.2</v>
      </c>
      <c r="G41" s="313" t="n">
        <v>88.2</v>
      </c>
      <c r="H41" s="2"/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5185</v>
      </c>
      <c r="C42" s="313" t="n">
        <v>188</v>
      </c>
      <c r="D42" s="313" t="n">
        <v>42.2</v>
      </c>
      <c r="E42" s="313" t="n">
        <v>42.2</v>
      </c>
      <c r="F42" s="313" t="n">
        <v>88.2</v>
      </c>
      <c r="G42" s="313" t="n">
        <v>88.2</v>
      </c>
      <c r="H42" s="2"/>
      <c r="I42" s="2"/>
      <c r="J42" s="2"/>
      <c r="K42" s="2"/>
      <c r="L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60" hidden="false" customHeight="true" outlineLevel="0" collapsed="false">
      <c r="A44" s="2"/>
      <c r="B44" s="60" t="s">
        <v>5471</v>
      </c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7">
    <mergeCell ref="B2:L2"/>
    <mergeCell ref="B3:L3"/>
    <mergeCell ref="B4:L4"/>
    <mergeCell ref="B6:L6"/>
    <mergeCell ref="B14:L14"/>
    <mergeCell ref="B24:L24"/>
    <mergeCell ref="B34:L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12" min="4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99" t="s">
        <v>5472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5473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90" hidden="false" customHeight="true" outlineLevel="0" collapsed="false">
      <c r="A4" s="2"/>
      <c r="B4" s="4" t="s">
        <v>5474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5402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5403</v>
      </c>
      <c r="C7" s="312" t="s">
        <v>4795</v>
      </c>
      <c r="D7" s="312" t="s">
        <v>5475</v>
      </c>
      <c r="E7" s="312" t="s">
        <v>5406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13" t="s">
        <v>5477</v>
      </c>
      <c r="C8" s="313" t="s">
        <v>5478</v>
      </c>
      <c r="D8" s="313" t="s">
        <v>5479</v>
      </c>
      <c r="E8" s="313" t="s">
        <v>5480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13" t="s">
        <v>5482</v>
      </c>
      <c r="C9" s="313" t="s">
        <v>5483</v>
      </c>
      <c r="D9" s="313" t="s">
        <v>5484</v>
      </c>
      <c r="E9" s="313" t="s">
        <v>5485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5487</v>
      </c>
      <c r="C10" s="313" t="s">
        <v>5478</v>
      </c>
      <c r="D10" s="313" t="s">
        <v>5488</v>
      </c>
      <c r="E10" s="313" t="s">
        <v>5489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13" t="s">
        <v>5491</v>
      </c>
      <c r="C11" s="313" t="s">
        <v>5483</v>
      </c>
      <c r="D11" s="313" t="s">
        <v>5492</v>
      </c>
      <c r="E11" s="313" t="s">
        <v>5493</v>
      </c>
      <c r="F11" s="2"/>
      <c r="G11" s="2"/>
      <c r="H11" s="2"/>
      <c r="I11" s="2"/>
      <c r="J11" s="2"/>
      <c r="K11" s="2"/>
      <c r="L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30" hidden="false" customHeight="true" outlineLevel="0" collapsed="false">
      <c r="A13" s="2"/>
      <c r="B13" s="311" t="s">
        <v>5495</v>
      </c>
      <c r="C13" s="311"/>
      <c r="D13" s="311"/>
      <c r="E13" s="311"/>
      <c r="F13" s="311"/>
      <c r="G13" s="311"/>
      <c r="H13" s="311"/>
      <c r="I13" s="311"/>
      <c r="J13" s="311"/>
      <c r="K13" s="311"/>
      <c r="L13" s="311"/>
    </row>
    <row r="14" customFormat="false" ht="30" hidden="false" customHeight="true" outlineLevel="0" collapsed="false">
      <c r="A14" s="2"/>
      <c r="B14" s="312" t="s">
        <v>5017</v>
      </c>
      <c r="C14" s="312" t="s">
        <v>5496</v>
      </c>
      <c r="D14" s="312" t="s">
        <v>5497</v>
      </c>
      <c r="E14" s="312" t="s">
        <v>5498</v>
      </c>
      <c r="F14" s="312" t="s">
        <v>5078</v>
      </c>
      <c r="G14" s="312" t="s">
        <v>5991</v>
      </c>
      <c r="H14" s="312" t="s">
        <v>5988</v>
      </c>
      <c r="I14" s="312" t="s">
        <v>5989</v>
      </c>
      <c r="J14" s="2"/>
      <c r="K14" s="2"/>
      <c r="L14" s="2"/>
    </row>
    <row r="15" customFormat="false" ht="18" hidden="false" customHeight="true" outlineLevel="0" collapsed="false">
      <c r="A15" s="2"/>
      <c r="B15" s="313" t="s">
        <v>5025</v>
      </c>
      <c r="C15" s="313" t="n">
        <v>12</v>
      </c>
      <c r="D15" s="313" t="n">
        <v>60</v>
      </c>
      <c r="E15" s="313" t="n">
        <v>45</v>
      </c>
      <c r="F15" s="313" t="n">
        <v>100</v>
      </c>
      <c r="G15" s="313" t="n">
        <v>15</v>
      </c>
      <c r="H15" s="313" t="n">
        <v>50</v>
      </c>
      <c r="I15" s="313" t="n">
        <v>40</v>
      </c>
      <c r="J15" s="2"/>
      <c r="K15" s="2"/>
      <c r="L15" s="2"/>
    </row>
    <row r="16" customFormat="false" ht="18" hidden="false" customHeight="true" outlineLevel="0" collapsed="false">
      <c r="A16" s="2"/>
      <c r="B16" s="313" t="s">
        <v>5027</v>
      </c>
      <c r="C16" s="313" t="n">
        <v>14</v>
      </c>
      <c r="D16" s="313" t="n">
        <v>75</v>
      </c>
      <c r="E16" s="313" t="n">
        <v>50</v>
      </c>
      <c r="F16" s="313" t="n">
        <v>120</v>
      </c>
      <c r="G16" s="313" t="n">
        <v>30</v>
      </c>
      <c r="H16" s="313" t="n">
        <v>60</v>
      </c>
      <c r="I16" s="313" t="n">
        <v>50</v>
      </c>
      <c r="J16" s="2"/>
      <c r="K16" s="2"/>
      <c r="L16" s="2"/>
    </row>
    <row r="17" customFormat="false" ht="18" hidden="false" customHeight="true" outlineLevel="0" collapsed="false">
      <c r="A17" s="2"/>
      <c r="B17" s="313" t="s">
        <v>5029</v>
      </c>
      <c r="C17" s="313" t="n">
        <v>16</v>
      </c>
      <c r="D17" s="313" t="n">
        <v>90</v>
      </c>
      <c r="E17" s="313" t="n">
        <v>65</v>
      </c>
      <c r="F17" s="313" t="n">
        <v>140</v>
      </c>
      <c r="G17" s="313" t="n">
        <v>50</v>
      </c>
      <c r="H17" s="313" t="n">
        <v>70</v>
      </c>
      <c r="I17" s="313" t="n">
        <v>55</v>
      </c>
      <c r="J17" s="2"/>
      <c r="K17" s="2"/>
      <c r="L17" s="2"/>
    </row>
    <row r="18" customFormat="false" ht="18" hidden="false" customHeight="true" outlineLevel="0" collapsed="false">
      <c r="A18" s="2"/>
      <c r="B18" s="313" t="s">
        <v>5031</v>
      </c>
      <c r="C18" s="313" t="n">
        <v>20</v>
      </c>
      <c r="D18" s="313" t="n">
        <v>125</v>
      </c>
      <c r="E18" s="313" t="n">
        <v>85</v>
      </c>
      <c r="F18" s="313" t="n">
        <v>180</v>
      </c>
      <c r="G18" s="313" t="n">
        <v>80</v>
      </c>
      <c r="H18" s="313" t="n">
        <v>90</v>
      </c>
      <c r="I18" s="313" t="n">
        <v>70</v>
      </c>
      <c r="J18" s="2"/>
      <c r="K18" s="2"/>
      <c r="L18" s="2"/>
    </row>
    <row r="19" customFormat="false" ht="18" hidden="false" customHeight="true" outlineLevel="0" collapsed="false">
      <c r="A19" s="2"/>
      <c r="B19" s="313" t="s">
        <v>5033</v>
      </c>
      <c r="C19" s="313" t="n">
        <v>25</v>
      </c>
      <c r="D19" s="313" t="n">
        <v>170</v>
      </c>
      <c r="E19" s="313" t="n">
        <v>110</v>
      </c>
      <c r="F19" s="313" t="n">
        <v>240</v>
      </c>
      <c r="G19" s="313" t="n">
        <v>150</v>
      </c>
      <c r="H19" s="313" t="n">
        <v>120</v>
      </c>
      <c r="I19" s="313" t="n">
        <v>90</v>
      </c>
      <c r="J19" s="2"/>
      <c r="K19" s="2"/>
      <c r="L19" s="2"/>
    </row>
    <row r="20" customFormat="false" ht="18" hidden="false" customHeight="true" outlineLevel="0" collapsed="false">
      <c r="A20" s="2"/>
      <c r="B20" s="313" t="s">
        <v>5185</v>
      </c>
      <c r="C20" s="313" t="n">
        <v>25</v>
      </c>
      <c r="D20" s="313" t="n">
        <v>210</v>
      </c>
      <c r="E20" s="313" t="n">
        <v>140</v>
      </c>
      <c r="F20" s="313" t="n">
        <v>280</v>
      </c>
      <c r="G20" s="313" t="n">
        <v>200</v>
      </c>
      <c r="H20" s="313" t="n">
        <v>140</v>
      </c>
      <c r="I20" s="313" t="n">
        <v>110</v>
      </c>
      <c r="J20" s="2"/>
      <c r="K20" s="2"/>
      <c r="L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customFormat="false" ht="45" hidden="false" customHeight="true" outlineLevel="0" collapsed="false">
      <c r="A22" s="2"/>
      <c r="B22" s="311" t="s">
        <v>5440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</row>
    <row r="23" customFormat="false" ht="30" hidden="false" customHeight="true" outlineLevel="0" collapsed="false">
      <c r="A23" s="2"/>
      <c r="B23" s="312" t="s">
        <v>5017</v>
      </c>
      <c r="C23" s="312" t="s">
        <v>5036</v>
      </c>
      <c r="D23" s="312" t="s">
        <v>5037</v>
      </c>
      <c r="E23" s="312" t="s">
        <v>5038</v>
      </c>
      <c r="F23" s="312" t="s">
        <v>5039</v>
      </c>
      <c r="G23" s="312" t="s">
        <v>5059</v>
      </c>
      <c r="H23" s="312" t="s">
        <v>5061</v>
      </c>
      <c r="I23" s="2"/>
      <c r="J23" s="2"/>
      <c r="K23" s="2"/>
      <c r="L23" s="2"/>
    </row>
    <row r="24" customFormat="false" ht="18" hidden="false" customHeight="true" outlineLevel="0" collapsed="false">
      <c r="A24" s="2"/>
      <c r="B24" s="313" t="s">
        <v>5025</v>
      </c>
      <c r="C24" s="313" t="n">
        <v>60</v>
      </c>
      <c r="D24" s="313" t="n">
        <v>16.7</v>
      </c>
      <c r="E24" s="313" t="n">
        <v>14.2</v>
      </c>
      <c r="F24" s="313" t="n">
        <v>14.5</v>
      </c>
      <c r="G24" s="313" t="n">
        <v>11</v>
      </c>
      <c r="H24" s="313" t="n">
        <v>9.4</v>
      </c>
      <c r="I24" s="2"/>
      <c r="J24" s="2"/>
      <c r="K24" s="2"/>
      <c r="L24" s="2"/>
    </row>
    <row r="25" customFormat="false" ht="18" hidden="false" customHeight="true" outlineLevel="0" collapsed="false">
      <c r="A25" s="2"/>
      <c r="B25" s="313" t="s">
        <v>5027</v>
      </c>
      <c r="C25" s="313" t="n">
        <v>75</v>
      </c>
      <c r="D25" s="313" t="n">
        <v>26</v>
      </c>
      <c r="E25" s="313" t="n">
        <v>22</v>
      </c>
      <c r="F25" s="313" t="n">
        <v>21.3</v>
      </c>
      <c r="G25" s="313" t="n">
        <v>17.2</v>
      </c>
      <c r="H25" s="313" t="n">
        <v>14.7</v>
      </c>
      <c r="I25" s="2"/>
      <c r="J25" s="2"/>
      <c r="K25" s="2"/>
      <c r="L25" s="2"/>
    </row>
    <row r="26" customFormat="false" ht="18" hidden="false" customHeight="true" outlineLevel="0" collapsed="false">
      <c r="A26" s="2"/>
      <c r="B26" s="313" t="s">
        <v>5029</v>
      </c>
      <c r="C26" s="313" t="n">
        <v>90</v>
      </c>
      <c r="D26" s="313" t="n">
        <v>37.3</v>
      </c>
      <c r="E26" s="313" t="n">
        <v>32</v>
      </c>
      <c r="F26" s="313" t="n">
        <v>30</v>
      </c>
      <c r="G26" s="313" t="n">
        <v>25</v>
      </c>
      <c r="H26" s="313" t="n">
        <v>21.5</v>
      </c>
      <c r="I26" s="2"/>
      <c r="J26" s="2"/>
      <c r="K26" s="2"/>
      <c r="L26" s="2"/>
    </row>
    <row r="27" customFormat="false" ht="18" hidden="false" customHeight="true" outlineLevel="0" collapsed="false">
      <c r="A27" s="2"/>
      <c r="B27" s="313" t="s">
        <v>5031</v>
      </c>
      <c r="C27" s="313" t="n">
        <v>125</v>
      </c>
      <c r="D27" s="313" t="n">
        <v>65</v>
      </c>
      <c r="E27" s="313" t="n">
        <v>55.7</v>
      </c>
      <c r="F27" s="313" t="n">
        <v>50.5</v>
      </c>
      <c r="G27" s="313" t="n">
        <v>44</v>
      </c>
      <c r="H27" s="313" t="n">
        <v>37.5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5033</v>
      </c>
      <c r="C28" s="313" t="n">
        <v>170</v>
      </c>
      <c r="D28" s="313" t="n">
        <v>91.7</v>
      </c>
      <c r="E28" s="313" t="n">
        <v>78</v>
      </c>
      <c r="F28" s="313" t="n">
        <v>82</v>
      </c>
      <c r="G28" s="313" t="n">
        <v>62.5</v>
      </c>
      <c r="H28" s="313" t="n">
        <v>53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5185</v>
      </c>
      <c r="C29" s="313" t="n">
        <v>210</v>
      </c>
      <c r="D29" s="313" t="n">
        <v>91.7</v>
      </c>
      <c r="E29" s="313" t="n">
        <v>78</v>
      </c>
      <c r="F29" s="313" t="n">
        <v>112.7</v>
      </c>
      <c r="G29" s="313" t="n">
        <v>62.5</v>
      </c>
      <c r="H29" s="313" t="n">
        <v>53</v>
      </c>
      <c r="I29" s="2"/>
      <c r="J29" s="2"/>
      <c r="K29" s="2"/>
      <c r="L29" s="2"/>
    </row>
    <row r="30" customFormat="false" ht="1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customFormat="false" ht="45" hidden="false" customHeight="true" outlineLevel="0" collapsed="false">
      <c r="A31" s="2"/>
      <c r="B31" s="311" t="s">
        <v>5458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1"/>
    </row>
    <row r="32" customFormat="false" ht="30" hidden="false" customHeight="true" outlineLevel="0" collapsed="false">
      <c r="A32" s="2"/>
      <c r="B32" s="312" t="s">
        <v>5017</v>
      </c>
      <c r="C32" s="312" t="s">
        <v>5036</v>
      </c>
      <c r="D32" s="312" t="s">
        <v>5037</v>
      </c>
      <c r="E32" s="312" t="s">
        <v>5038</v>
      </c>
      <c r="F32" s="312" t="s">
        <v>5039</v>
      </c>
      <c r="G32" s="312" t="s">
        <v>5059</v>
      </c>
      <c r="H32" s="312" t="s">
        <v>5061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13" t="s">
        <v>5025</v>
      </c>
      <c r="C33" s="313" t="n">
        <v>60</v>
      </c>
      <c r="D33" s="313" t="n">
        <v>16.7</v>
      </c>
      <c r="E33" s="313" t="n">
        <v>14.2</v>
      </c>
      <c r="F33" s="313" t="n">
        <v>11.2</v>
      </c>
      <c r="G33" s="313" t="n">
        <v>8.5</v>
      </c>
      <c r="H33" s="313" t="n">
        <v>7.2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13" t="s">
        <v>5027</v>
      </c>
      <c r="C34" s="313" t="n">
        <v>75</v>
      </c>
      <c r="D34" s="313" t="n">
        <v>26</v>
      </c>
      <c r="E34" s="313" t="n">
        <v>22</v>
      </c>
      <c r="F34" s="313" t="n">
        <v>16.4</v>
      </c>
      <c r="G34" s="313" t="n">
        <v>13.3</v>
      </c>
      <c r="H34" s="313" t="n">
        <v>11.3</v>
      </c>
      <c r="I34" s="2"/>
      <c r="J34" s="2"/>
      <c r="K34" s="2"/>
      <c r="L34" s="2"/>
    </row>
    <row r="35" customFormat="false" ht="18" hidden="false" customHeight="true" outlineLevel="0" collapsed="false">
      <c r="A35" s="2"/>
      <c r="B35" s="313" t="s">
        <v>5029</v>
      </c>
      <c r="C35" s="313" t="n">
        <v>90</v>
      </c>
      <c r="D35" s="313" t="n">
        <v>37.3</v>
      </c>
      <c r="E35" s="313" t="n">
        <v>32</v>
      </c>
      <c r="F35" s="313" t="n">
        <v>23.2</v>
      </c>
      <c r="G35" s="313" t="n">
        <v>19.3</v>
      </c>
      <c r="H35" s="313" t="n">
        <v>16.6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5031</v>
      </c>
      <c r="C36" s="313" t="n">
        <v>125</v>
      </c>
      <c r="D36" s="313" t="n">
        <v>65</v>
      </c>
      <c r="E36" s="313" t="n">
        <v>55.7</v>
      </c>
      <c r="F36" s="313" t="n">
        <v>39</v>
      </c>
      <c r="G36" s="313" t="n">
        <v>34</v>
      </c>
      <c r="H36" s="313" t="n">
        <v>29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5033</v>
      </c>
      <c r="C37" s="313" t="n">
        <v>170</v>
      </c>
      <c r="D37" s="313" t="n">
        <v>91.7</v>
      </c>
      <c r="E37" s="313" t="n">
        <v>78</v>
      </c>
      <c r="F37" s="313" t="n">
        <v>63.3</v>
      </c>
      <c r="G37" s="313" t="n">
        <v>48.3</v>
      </c>
      <c r="H37" s="313" t="n">
        <v>41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5185</v>
      </c>
      <c r="C38" s="313" t="n">
        <v>210</v>
      </c>
      <c r="D38" s="313" t="n">
        <v>91.7</v>
      </c>
      <c r="E38" s="313" t="n">
        <v>78</v>
      </c>
      <c r="F38" s="313" t="n">
        <v>87</v>
      </c>
      <c r="G38" s="313" t="n">
        <v>48.3</v>
      </c>
      <c r="H38" s="313" t="n">
        <v>41</v>
      </c>
      <c r="I38" s="2"/>
      <c r="J38" s="2"/>
      <c r="K38" s="2"/>
      <c r="L38" s="2"/>
    </row>
    <row r="39" customFormat="false" ht="1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customFormat="false" ht="30" hidden="false" customHeight="true" outlineLevel="0" collapsed="false">
      <c r="A40" s="2"/>
      <c r="B40" s="311" t="s">
        <v>5526</v>
      </c>
      <c r="C40" s="311"/>
      <c r="D40" s="311"/>
      <c r="E40" s="311"/>
      <c r="F40" s="311"/>
      <c r="G40" s="311"/>
      <c r="H40" s="311"/>
      <c r="I40" s="311"/>
      <c r="J40" s="311"/>
      <c r="K40" s="311"/>
      <c r="L40" s="311"/>
    </row>
    <row r="41" customFormat="false" ht="75" hidden="false" customHeight="true" outlineLevel="0" collapsed="false">
      <c r="A41" s="2"/>
      <c r="B41" s="314" t="s">
        <v>5527</v>
      </c>
      <c r="C41" s="314"/>
      <c r="D41" s="314"/>
      <c r="E41" s="314"/>
      <c r="F41" s="314"/>
      <c r="G41" s="314"/>
      <c r="H41" s="314"/>
      <c r="I41" s="314"/>
      <c r="J41" s="314"/>
      <c r="K41" s="314"/>
      <c r="L41" s="314"/>
    </row>
    <row r="42" customFormat="false" ht="60" hidden="false" customHeight="true" outlineLevel="0" collapsed="false">
      <c r="A42" s="2"/>
      <c r="B42" s="314" t="s">
        <v>5528</v>
      </c>
      <c r="C42" s="314"/>
      <c r="D42" s="314"/>
      <c r="E42" s="314"/>
      <c r="F42" s="314"/>
      <c r="G42" s="314"/>
      <c r="H42" s="314"/>
      <c r="I42" s="314"/>
      <c r="J42" s="314"/>
      <c r="K42" s="314"/>
      <c r="L42" s="314"/>
    </row>
    <row r="43" customFormat="false" ht="60" hidden="false" customHeight="true" outlineLevel="0" collapsed="false">
      <c r="A43" s="2"/>
      <c r="B43" s="314" t="s">
        <v>5529</v>
      </c>
      <c r="C43" s="314"/>
      <c r="D43" s="314"/>
      <c r="E43" s="314"/>
      <c r="F43" s="314"/>
      <c r="G43" s="314"/>
      <c r="H43" s="314"/>
      <c r="I43" s="314"/>
      <c r="J43" s="314"/>
      <c r="K43" s="314"/>
      <c r="L43" s="314"/>
    </row>
    <row r="44" customFormat="false" ht="75" hidden="false" customHeight="true" outlineLevel="0" collapsed="false">
      <c r="A44" s="2"/>
      <c r="B44" s="314" t="s">
        <v>5530</v>
      </c>
      <c r="C44" s="314"/>
      <c r="D44" s="314"/>
      <c r="E44" s="314"/>
      <c r="F44" s="314"/>
      <c r="G44" s="314"/>
      <c r="H44" s="314"/>
      <c r="I44" s="314"/>
      <c r="J44" s="314"/>
      <c r="K44" s="314"/>
      <c r="L44" s="314"/>
    </row>
    <row r="45" customFormat="false" ht="60" hidden="false" customHeight="true" outlineLevel="0" collapsed="false">
      <c r="A45" s="2"/>
      <c r="B45" s="314" t="s">
        <v>5531</v>
      </c>
      <c r="C45" s="314"/>
      <c r="D45" s="314"/>
      <c r="E45" s="314"/>
      <c r="F45" s="314"/>
      <c r="G45" s="314"/>
      <c r="H45" s="314"/>
      <c r="I45" s="314"/>
      <c r="J45" s="314"/>
      <c r="K45" s="314"/>
      <c r="L45" s="314"/>
    </row>
    <row r="46" customFormat="false" ht="60" hidden="false" customHeight="true" outlineLevel="0" collapsed="false">
      <c r="A46" s="2"/>
      <c r="B46" s="314" t="s">
        <v>5532</v>
      </c>
      <c r="C46" s="314"/>
      <c r="D46" s="314"/>
      <c r="E46" s="314"/>
      <c r="F46" s="314"/>
      <c r="G46" s="314"/>
      <c r="H46" s="314"/>
      <c r="I46" s="314"/>
      <c r="J46" s="314"/>
      <c r="K46" s="314"/>
      <c r="L46" s="314"/>
    </row>
    <row r="47" customFormat="false" ht="60" hidden="false" customHeight="true" outlineLevel="0" collapsed="false">
      <c r="A47" s="2"/>
      <c r="B47" s="314" t="s">
        <v>5533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75" hidden="false" customHeight="true" outlineLevel="0" collapsed="false">
      <c r="A49" s="2"/>
      <c r="B49" s="60" t="s">
        <v>5534</v>
      </c>
      <c r="C49" s="2"/>
      <c r="D49" s="2"/>
      <c r="E49" s="2"/>
      <c r="F49" s="2"/>
      <c r="G49" s="2"/>
      <c r="H49" s="2"/>
      <c r="I49" s="2"/>
      <c r="J49" s="2"/>
      <c r="K49" s="2"/>
      <c r="L49" s="2"/>
    </row>
  </sheetData>
  <mergeCells count="15">
    <mergeCell ref="B2:L2"/>
    <mergeCell ref="B3:L3"/>
    <mergeCell ref="B4:L4"/>
    <mergeCell ref="B6:L6"/>
    <mergeCell ref="B13:L13"/>
    <mergeCell ref="B22:L22"/>
    <mergeCell ref="B31:L31"/>
    <mergeCell ref="B40:L40"/>
    <mergeCell ref="B41:L41"/>
    <mergeCell ref="B42:L42"/>
    <mergeCell ref="B43:L43"/>
    <mergeCell ref="B44:L44"/>
    <mergeCell ref="B45:L45"/>
    <mergeCell ref="B46:L46"/>
    <mergeCell ref="B47:L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0" hidden="false" customHeight="true" outlineLevel="0" collapsed="false">
      <c r="A2" s="2"/>
      <c r="B2" s="299" t="s">
        <v>5535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5536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5537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5538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5263</v>
      </c>
      <c r="C7" s="312" t="s">
        <v>5404</v>
      </c>
      <c r="D7" s="312" t="s">
        <v>5539</v>
      </c>
      <c r="E7" s="312" t="s">
        <v>5406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13" t="s">
        <v>5541</v>
      </c>
      <c r="C8" s="313" t="s">
        <v>5542</v>
      </c>
      <c r="D8" s="313" t="s">
        <v>5543</v>
      </c>
      <c r="E8" s="313" t="s">
        <v>5544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13" t="s">
        <v>5546</v>
      </c>
      <c r="C9" s="313" t="s">
        <v>5542</v>
      </c>
      <c r="D9" s="313" t="s">
        <v>5547</v>
      </c>
      <c r="E9" s="313" t="s">
        <v>5548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5550</v>
      </c>
      <c r="C10" s="313" t="s">
        <v>5551</v>
      </c>
      <c r="D10" s="313" t="s">
        <v>5552</v>
      </c>
      <c r="E10" s="313" t="s">
        <v>5553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13" t="s">
        <v>5555</v>
      </c>
      <c r="C11" s="313" t="s">
        <v>5556</v>
      </c>
      <c r="D11" s="313" t="s">
        <v>5557</v>
      </c>
      <c r="E11" s="313" t="s">
        <v>5558</v>
      </c>
      <c r="F11" s="2"/>
      <c r="G11" s="2"/>
      <c r="H11" s="2"/>
      <c r="I11" s="2"/>
      <c r="J11" s="2"/>
      <c r="K11" s="2"/>
      <c r="L11" s="2"/>
    </row>
    <row r="12" customFormat="false" ht="60" hidden="false" customHeight="true" outlineLevel="0" collapsed="false">
      <c r="A12" s="2"/>
      <c r="B12" s="313" t="s">
        <v>5560</v>
      </c>
      <c r="C12" s="313" t="s">
        <v>5561</v>
      </c>
      <c r="D12" s="313" t="s">
        <v>5562</v>
      </c>
      <c r="E12" s="313" t="s">
        <v>5563</v>
      </c>
      <c r="F12" s="2"/>
      <c r="G12" s="2"/>
      <c r="H12" s="2"/>
      <c r="I12" s="2"/>
      <c r="J12" s="2"/>
      <c r="K12" s="2"/>
      <c r="L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30" hidden="false" customHeight="true" outlineLevel="0" collapsed="false">
      <c r="A14" s="2"/>
      <c r="B14" s="311" t="s">
        <v>5565</v>
      </c>
      <c r="C14" s="311"/>
      <c r="D14" s="311"/>
      <c r="E14" s="311"/>
      <c r="F14" s="311"/>
      <c r="G14" s="311"/>
      <c r="H14" s="311"/>
      <c r="I14" s="311"/>
      <c r="J14" s="311"/>
      <c r="K14" s="311"/>
      <c r="L14" s="311"/>
    </row>
    <row r="15" customFormat="false" ht="30" hidden="false" customHeight="true" outlineLevel="0" collapsed="false">
      <c r="A15" s="2"/>
      <c r="B15" s="312" t="s">
        <v>5566</v>
      </c>
      <c r="C15" s="312" t="s">
        <v>5017</v>
      </c>
      <c r="D15" s="312" t="s">
        <v>5496</v>
      </c>
      <c r="E15" s="312" t="s">
        <v>5036</v>
      </c>
      <c r="F15" s="312" t="s">
        <v>5567</v>
      </c>
      <c r="G15" s="312" t="s">
        <v>5078</v>
      </c>
      <c r="H15" s="312" t="s">
        <v>5991</v>
      </c>
      <c r="I15" s="312" t="s">
        <v>6005</v>
      </c>
      <c r="J15" s="2"/>
      <c r="K15" s="2"/>
      <c r="L15" s="2"/>
    </row>
    <row r="16" customFormat="false" ht="30" hidden="false" customHeight="true" outlineLevel="0" collapsed="false">
      <c r="A16" s="2"/>
      <c r="B16" s="313" t="s">
        <v>5569</v>
      </c>
      <c r="C16" s="313" t="s">
        <v>5023</v>
      </c>
      <c r="D16" s="313" t="n">
        <v>12</v>
      </c>
      <c r="E16" s="313" t="n">
        <v>40</v>
      </c>
      <c r="F16" s="313" t="n">
        <v>48</v>
      </c>
      <c r="G16" s="313" t="n">
        <v>100</v>
      </c>
      <c r="H16" s="313" t="n">
        <v>10</v>
      </c>
      <c r="I16" s="313" t="s">
        <v>6006</v>
      </c>
      <c r="J16" s="2"/>
      <c r="K16" s="2"/>
      <c r="L16" s="2"/>
    </row>
    <row r="17" customFormat="false" ht="30" hidden="false" customHeight="true" outlineLevel="0" collapsed="false">
      <c r="A17" s="2"/>
      <c r="B17" s="313" t="s">
        <v>5571</v>
      </c>
      <c r="C17" s="313" t="s">
        <v>5025</v>
      </c>
      <c r="D17" s="313" t="n">
        <v>12</v>
      </c>
      <c r="E17" s="313" t="n">
        <v>50</v>
      </c>
      <c r="F17" s="313" t="n">
        <v>60</v>
      </c>
      <c r="G17" s="313" t="n">
        <v>110</v>
      </c>
      <c r="H17" s="313" t="n">
        <v>15</v>
      </c>
      <c r="I17" s="313" t="s">
        <v>6006</v>
      </c>
      <c r="J17" s="2"/>
      <c r="K17" s="2"/>
      <c r="L17" s="2"/>
    </row>
    <row r="18" customFormat="false" ht="30" hidden="false" customHeight="true" outlineLevel="0" collapsed="false">
      <c r="A18" s="2"/>
      <c r="B18" s="313" t="s">
        <v>5573</v>
      </c>
      <c r="C18" s="313" t="s">
        <v>5025</v>
      </c>
      <c r="D18" s="313" t="n">
        <v>14</v>
      </c>
      <c r="E18" s="313" t="n">
        <v>55</v>
      </c>
      <c r="F18" s="313" t="n">
        <v>65</v>
      </c>
      <c r="G18" s="313" t="n">
        <v>120</v>
      </c>
      <c r="H18" s="313" t="n">
        <v>15</v>
      </c>
      <c r="I18" s="313" t="s">
        <v>6007</v>
      </c>
      <c r="J18" s="2"/>
      <c r="K18" s="2"/>
      <c r="L18" s="2"/>
    </row>
    <row r="19" customFormat="false" ht="30" hidden="false" customHeight="true" outlineLevel="0" collapsed="false">
      <c r="A19" s="2"/>
      <c r="B19" s="313" t="s">
        <v>5575</v>
      </c>
      <c r="C19" s="313" t="s">
        <v>5027</v>
      </c>
      <c r="D19" s="313" t="n">
        <v>14</v>
      </c>
      <c r="E19" s="313" t="n">
        <v>70</v>
      </c>
      <c r="F19" s="313" t="n">
        <v>82</v>
      </c>
      <c r="G19" s="313" t="n">
        <v>130</v>
      </c>
      <c r="H19" s="313" t="n">
        <v>40</v>
      </c>
      <c r="I19" s="313" t="s">
        <v>6007</v>
      </c>
      <c r="J19" s="2"/>
      <c r="K19" s="2"/>
      <c r="L19" s="2"/>
    </row>
    <row r="20" customFormat="false" ht="30" hidden="false" customHeight="true" outlineLevel="0" collapsed="false">
      <c r="A20" s="2"/>
      <c r="B20" s="313" t="s">
        <v>5577</v>
      </c>
      <c r="C20" s="313" t="s">
        <v>5027</v>
      </c>
      <c r="D20" s="313" t="n">
        <v>18</v>
      </c>
      <c r="E20" s="313" t="n">
        <v>65</v>
      </c>
      <c r="F20" s="313" t="n">
        <v>78</v>
      </c>
      <c r="G20" s="313" t="n">
        <v>130</v>
      </c>
      <c r="H20" s="313" t="n">
        <v>40</v>
      </c>
      <c r="I20" s="313" t="s">
        <v>6008</v>
      </c>
      <c r="J20" s="2"/>
      <c r="K20" s="2"/>
      <c r="L20" s="2"/>
    </row>
    <row r="21" customFormat="false" ht="30" hidden="false" customHeight="true" outlineLevel="0" collapsed="false">
      <c r="A21" s="2"/>
      <c r="B21" s="313" t="s">
        <v>5579</v>
      </c>
      <c r="C21" s="313" t="s">
        <v>5029</v>
      </c>
      <c r="D21" s="313" t="n">
        <v>18</v>
      </c>
      <c r="E21" s="313" t="n">
        <v>80</v>
      </c>
      <c r="F21" s="313" t="n">
        <v>95</v>
      </c>
      <c r="G21" s="313" t="n">
        <v>150</v>
      </c>
      <c r="H21" s="313" t="n">
        <v>60</v>
      </c>
      <c r="I21" s="313" t="s">
        <v>6008</v>
      </c>
      <c r="J21" s="2"/>
      <c r="K21" s="2"/>
      <c r="L21" s="2"/>
    </row>
    <row r="22" customFormat="false" ht="30" hidden="false" customHeight="true" outlineLevel="0" collapsed="false">
      <c r="A22" s="2"/>
      <c r="B22" s="313" t="s">
        <v>5581</v>
      </c>
      <c r="C22" s="313" t="s">
        <v>5029</v>
      </c>
      <c r="D22" s="313" t="n">
        <v>18</v>
      </c>
      <c r="E22" s="313" t="n">
        <v>100</v>
      </c>
      <c r="F22" s="313" t="n">
        <v>115</v>
      </c>
      <c r="G22" s="313" t="n">
        <v>160</v>
      </c>
      <c r="H22" s="313" t="n">
        <v>60</v>
      </c>
      <c r="I22" s="313" t="s">
        <v>6008</v>
      </c>
      <c r="J22" s="2"/>
      <c r="K22" s="2"/>
      <c r="L22" s="2"/>
    </row>
    <row r="23" customFormat="false" ht="30" hidden="false" customHeight="true" outlineLevel="0" collapsed="false">
      <c r="A23" s="2"/>
      <c r="B23" s="313" t="s">
        <v>5583</v>
      </c>
      <c r="C23" s="313" t="s">
        <v>5031</v>
      </c>
      <c r="D23" s="313" t="n">
        <v>25</v>
      </c>
      <c r="E23" s="313" t="n">
        <v>105</v>
      </c>
      <c r="F23" s="313" t="n">
        <v>120</v>
      </c>
      <c r="G23" s="313" t="n">
        <v>180</v>
      </c>
      <c r="H23" s="313" t="n">
        <v>100</v>
      </c>
      <c r="I23" s="313" t="s">
        <v>6009</v>
      </c>
      <c r="J23" s="2"/>
      <c r="K23" s="2"/>
      <c r="L23" s="2"/>
    </row>
    <row r="24" customFormat="false" ht="30" hidden="false" customHeight="true" outlineLevel="0" collapsed="false">
      <c r="A24" s="2"/>
      <c r="B24" s="313" t="s">
        <v>5585</v>
      </c>
      <c r="C24" s="313" t="s">
        <v>5031</v>
      </c>
      <c r="D24" s="313" t="n">
        <v>25</v>
      </c>
      <c r="E24" s="313" t="n">
        <v>125</v>
      </c>
      <c r="F24" s="313" t="n">
        <v>140</v>
      </c>
      <c r="G24" s="313" t="n">
        <v>200</v>
      </c>
      <c r="H24" s="313" t="n">
        <v>100</v>
      </c>
      <c r="I24" s="313" t="s">
        <v>6009</v>
      </c>
      <c r="J24" s="2"/>
      <c r="K24" s="2"/>
      <c r="L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customFormat="false" ht="45" hidden="false" customHeight="true" outlineLevel="0" collapsed="false">
      <c r="A26" s="2"/>
      <c r="B26" s="311" t="s">
        <v>5440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</row>
    <row r="27" customFormat="false" ht="30" hidden="false" customHeight="true" outlineLevel="0" collapsed="false">
      <c r="A27" s="2"/>
      <c r="B27" s="312" t="s">
        <v>5017</v>
      </c>
      <c r="C27" s="312" t="s">
        <v>5036</v>
      </c>
      <c r="D27" s="312" t="s">
        <v>5037</v>
      </c>
      <c r="E27" s="312" t="s">
        <v>5038</v>
      </c>
      <c r="F27" s="312" t="s">
        <v>5039</v>
      </c>
      <c r="G27" s="312" t="s">
        <v>5059</v>
      </c>
      <c r="H27" s="312" t="s">
        <v>5061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5023</v>
      </c>
      <c r="C28" s="313" t="n">
        <v>40</v>
      </c>
      <c r="D28" s="313" t="n">
        <v>7.3</v>
      </c>
      <c r="E28" s="313" t="n">
        <v>6.2</v>
      </c>
      <c r="F28" s="313" t="n">
        <v>11.5</v>
      </c>
      <c r="G28" s="313" t="n">
        <v>5.2</v>
      </c>
      <c r="H28" s="313" t="n">
        <v>4.4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5025</v>
      </c>
      <c r="C29" s="313" t="n">
        <v>50</v>
      </c>
      <c r="D29" s="313" t="n">
        <v>14.2</v>
      </c>
      <c r="E29" s="313" t="n">
        <v>12</v>
      </c>
      <c r="F29" s="313" t="n">
        <v>17.8</v>
      </c>
      <c r="G29" s="313" t="n">
        <v>10</v>
      </c>
      <c r="H29" s="313" t="n">
        <v>8.5</v>
      </c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5025</v>
      </c>
      <c r="C30" s="313" t="n">
        <v>55</v>
      </c>
      <c r="D30" s="313" t="n">
        <v>14.2</v>
      </c>
      <c r="E30" s="313" t="n">
        <v>12</v>
      </c>
      <c r="F30" s="313" t="n">
        <v>20.6</v>
      </c>
      <c r="G30" s="313" t="n">
        <v>10</v>
      </c>
      <c r="H30" s="313" t="n">
        <v>8.5</v>
      </c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5027</v>
      </c>
      <c r="C31" s="313" t="n">
        <v>65</v>
      </c>
      <c r="D31" s="313" t="n">
        <v>22</v>
      </c>
      <c r="E31" s="313" t="n">
        <v>18.8</v>
      </c>
      <c r="F31" s="313" t="n">
        <v>27</v>
      </c>
      <c r="G31" s="313" t="n">
        <v>15.5</v>
      </c>
      <c r="H31" s="313" t="n">
        <v>13.2</v>
      </c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5027</v>
      </c>
      <c r="C32" s="313" t="n">
        <v>70</v>
      </c>
      <c r="D32" s="313" t="n">
        <v>22</v>
      </c>
      <c r="E32" s="313" t="n">
        <v>18.8</v>
      </c>
      <c r="F32" s="313" t="n">
        <v>30.3</v>
      </c>
      <c r="G32" s="313" t="n">
        <v>15.5</v>
      </c>
      <c r="H32" s="313" t="n">
        <v>13.2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13" t="s">
        <v>5029</v>
      </c>
      <c r="C33" s="313" t="n">
        <v>80</v>
      </c>
      <c r="D33" s="313" t="n">
        <v>32</v>
      </c>
      <c r="E33" s="313" t="n">
        <v>27.2</v>
      </c>
      <c r="F33" s="313" t="n">
        <v>38</v>
      </c>
      <c r="G33" s="313" t="n">
        <v>23</v>
      </c>
      <c r="H33" s="313" t="n">
        <v>19.6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13" t="s">
        <v>5029</v>
      </c>
      <c r="C34" s="313" t="n">
        <v>100</v>
      </c>
      <c r="D34" s="313" t="n">
        <v>32</v>
      </c>
      <c r="E34" s="313" t="n">
        <v>27.2</v>
      </c>
      <c r="F34" s="313" t="n">
        <v>53.5</v>
      </c>
      <c r="G34" s="313" t="n">
        <v>23</v>
      </c>
      <c r="H34" s="313" t="n">
        <v>19.6</v>
      </c>
      <c r="I34" s="2"/>
      <c r="J34" s="2"/>
      <c r="K34" s="2"/>
      <c r="L34" s="2"/>
    </row>
    <row r="35" customFormat="false" ht="18" hidden="false" customHeight="true" outlineLevel="0" collapsed="false">
      <c r="A35" s="2"/>
      <c r="B35" s="313" t="s">
        <v>5031</v>
      </c>
      <c r="C35" s="313" t="n">
        <v>105</v>
      </c>
      <c r="D35" s="313" t="n">
        <v>55.7</v>
      </c>
      <c r="E35" s="313" t="n">
        <v>47.4</v>
      </c>
      <c r="F35" s="313" t="n">
        <v>58</v>
      </c>
      <c r="G35" s="313" t="n">
        <v>40.8</v>
      </c>
      <c r="H35" s="313" t="n">
        <v>34.7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5031</v>
      </c>
      <c r="C36" s="313" t="n">
        <v>125</v>
      </c>
      <c r="D36" s="313" t="n">
        <v>55.7</v>
      </c>
      <c r="E36" s="313" t="n">
        <v>47.4</v>
      </c>
      <c r="F36" s="313" t="n">
        <v>75</v>
      </c>
      <c r="G36" s="313" t="n">
        <v>40.8</v>
      </c>
      <c r="H36" s="313" t="n">
        <v>34.7</v>
      </c>
      <c r="I36" s="2"/>
      <c r="J36" s="2"/>
      <c r="K36" s="2"/>
      <c r="L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customFormat="false" ht="30" hidden="false" customHeight="true" outlineLevel="0" collapsed="false">
      <c r="A38" s="2"/>
      <c r="B38" s="311" t="s">
        <v>5458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customFormat="false" ht="30" hidden="false" customHeight="true" outlineLevel="0" collapsed="false">
      <c r="A39" s="2"/>
      <c r="B39" s="312" t="s">
        <v>5017</v>
      </c>
      <c r="C39" s="312" t="s">
        <v>5036</v>
      </c>
      <c r="D39" s="312" t="s">
        <v>5037</v>
      </c>
      <c r="E39" s="312" t="s">
        <v>5038</v>
      </c>
      <c r="F39" s="312" t="s">
        <v>5039</v>
      </c>
      <c r="G39" s="312" t="s">
        <v>5059</v>
      </c>
      <c r="H39" s="312" t="s">
        <v>5061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5023</v>
      </c>
      <c r="C40" s="313" t="n">
        <v>40</v>
      </c>
      <c r="D40" s="313" t="n">
        <v>7.3</v>
      </c>
      <c r="E40" s="313" t="n">
        <v>6.2</v>
      </c>
      <c r="F40" s="313" t="n">
        <v>7.2</v>
      </c>
      <c r="G40" s="313" t="n">
        <v>5.2</v>
      </c>
      <c r="H40" s="313" t="n">
        <v>4.4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5025</v>
      </c>
      <c r="C41" s="313" t="n">
        <v>50</v>
      </c>
      <c r="D41" s="313" t="n">
        <v>14.2</v>
      </c>
      <c r="E41" s="313" t="n">
        <v>12</v>
      </c>
      <c r="F41" s="313" t="n">
        <v>11.1</v>
      </c>
      <c r="G41" s="313" t="n">
        <v>10</v>
      </c>
      <c r="H41" s="313" t="n">
        <v>8.5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5025</v>
      </c>
      <c r="C42" s="313" t="n">
        <v>55</v>
      </c>
      <c r="D42" s="313" t="n">
        <v>14.2</v>
      </c>
      <c r="E42" s="313" t="n">
        <v>12</v>
      </c>
      <c r="F42" s="313" t="n">
        <v>12.9</v>
      </c>
      <c r="G42" s="313" t="n">
        <v>10</v>
      </c>
      <c r="H42" s="313" t="n">
        <v>8.5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13" t="s">
        <v>5027</v>
      </c>
      <c r="C43" s="313" t="n">
        <v>65</v>
      </c>
      <c r="D43" s="313" t="n">
        <v>22</v>
      </c>
      <c r="E43" s="313" t="n">
        <v>18.8</v>
      </c>
      <c r="F43" s="313" t="n">
        <v>16.9</v>
      </c>
      <c r="G43" s="313" t="n">
        <v>15.5</v>
      </c>
      <c r="H43" s="313" t="n">
        <v>13.2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13" t="s">
        <v>5027</v>
      </c>
      <c r="C44" s="313" t="n">
        <v>70</v>
      </c>
      <c r="D44" s="313" t="n">
        <v>22</v>
      </c>
      <c r="E44" s="313" t="n">
        <v>18.8</v>
      </c>
      <c r="F44" s="313" t="n">
        <v>18.9</v>
      </c>
      <c r="G44" s="313" t="n">
        <v>15.5</v>
      </c>
      <c r="H44" s="313" t="n">
        <v>13.2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13" t="s">
        <v>5029</v>
      </c>
      <c r="C45" s="313" t="n">
        <v>80</v>
      </c>
      <c r="D45" s="313" t="n">
        <v>32</v>
      </c>
      <c r="E45" s="313" t="n">
        <v>27.2</v>
      </c>
      <c r="F45" s="313" t="n">
        <v>23.8</v>
      </c>
      <c r="G45" s="313" t="n">
        <v>23</v>
      </c>
      <c r="H45" s="313" t="n">
        <v>19.6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13" t="s">
        <v>5029</v>
      </c>
      <c r="C46" s="313" t="n">
        <v>100</v>
      </c>
      <c r="D46" s="313" t="n">
        <v>32</v>
      </c>
      <c r="E46" s="313" t="n">
        <v>27.2</v>
      </c>
      <c r="F46" s="313" t="n">
        <v>33.4</v>
      </c>
      <c r="G46" s="313" t="n">
        <v>23</v>
      </c>
      <c r="H46" s="313" t="n">
        <v>19.6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13" t="s">
        <v>5031</v>
      </c>
      <c r="C47" s="313" t="n">
        <v>105</v>
      </c>
      <c r="D47" s="313" t="n">
        <v>55.7</v>
      </c>
      <c r="E47" s="313" t="n">
        <v>47.4</v>
      </c>
      <c r="F47" s="313" t="n">
        <v>36.3</v>
      </c>
      <c r="G47" s="313" t="n">
        <v>40.8</v>
      </c>
      <c r="H47" s="313" t="n">
        <v>34.7</v>
      </c>
      <c r="I47" s="2"/>
      <c r="J47" s="2"/>
      <c r="K47" s="2"/>
      <c r="L47" s="2"/>
    </row>
    <row r="48" customFormat="false" ht="18" hidden="false" customHeight="true" outlineLevel="0" collapsed="false">
      <c r="A48" s="2"/>
      <c r="B48" s="313" t="s">
        <v>5031</v>
      </c>
      <c r="C48" s="313" t="n">
        <v>125</v>
      </c>
      <c r="D48" s="313" t="n">
        <v>55.7</v>
      </c>
      <c r="E48" s="313" t="n">
        <v>47.4</v>
      </c>
      <c r="F48" s="313" t="n">
        <v>46.9</v>
      </c>
      <c r="G48" s="313" t="n">
        <v>40.8</v>
      </c>
      <c r="H48" s="313" t="n">
        <v>34.7</v>
      </c>
      <c r="I48" s="2"/>
      <c r="J48" s="2"/>
      <c r="K48" s="2"/>
      <c r="L48" s="2"/>
    </row>
    <row r="49" customFormat="false" ht="1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customFormat="false" ht="45" hidden="false" customHeight="true" outlineLevel="0" collapsed="false">
      <c r="A50" s="2"/>
      <c r="B50" s="311" t="s">
        <v>5615</v>
      </c>
      <c r="C50" s="311"/>
      <c r="D50" s="311"/>
      <c r="E50" s="311"/>
      <c r="F50" s="311"/>
      <c r="G50" s="311"/>
      <c r="H50" s="311"/>
      <c r="I50" s="311"/>
      <c r="J50" s="311"/>
      <c r="K50" s="311"/>
      <c r="L50" s="311"/>
    </row>
    <row r="51" customFormat="false" ht="75" hidden="false" customHeight="true" outlineLevel="0" collapsed="false">
      <c r="A51" s="2"/>
      <c r="B51" s="314" t="s">
        <v>5616</v>
      </c>
      <c r="C51" s="314"/>
      <c r="D51" s="314"/>
      <c r="E51" s="314"/>
      <c r="F51" s="314"/>
      <c r="G51" s="314"/>
      <c r="H51" s="314"/>
      <c r="I51" s="314"/>
      <c r="J51" s="314"/>
      <c r="K51" s="314"/>
      <c r="L51" s="314"/>
    </row>
    <row r="52" customFormat="false" ht="60" hidden="false" customHeight="true" outlineLevel="0" collapsed="false">
      <c r="A52" s="2"/>
      <c r="B52" s="314" t="s">
        <v>5617</v>
      </c>
      <c r="C52" s="314"/>
      <c r="D52" s="314"/>
      <c r="E52" s="314"/>
      <c r="F52" s="314"/>
      <c r="G52" s="314"/>
      <c r="H52" s="314"/>
      <c r="I52" s="314"/>
      <c r="J52" s="314"/>
      <c r="K52" s="314"/>
      <c r="L52" s="314"/>
    </row>
    <row r="53" customFormat="false" ht="75" hidden="false" customHeight="true" outlineLevel="0" collapsed="false">
      <c r="A53" s="2"/>
      <c r="B53" s="314" t="s">
        <v>5618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</row>
    <row r="54" customFormat="false" ht="60" hidden="false" customHeight="true" outlineLevel="0" collapsed="false">
      <c r="A54" s="2"/>
      <c r="B54" s="314" t="s">
        <v>5619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4"/>
    </row>
    <row r="55" customFormat="false" ht="60" hidden="false" customHeight="true" outlineLevel="0" collapsed="false">
      <c r="A55" s="2"/>
      <c r="B55" s="314" t="s">
        <v>5620</v>
      </c>
      <c r="C55" s="314"/>
      <c r="D55" s="314"/>
      <c r="E55" s="314"/>
      <c r="F55" s="314"/>
      <c r="G55" s="314"/>
      <c r="H55" s="314"/>
      <c r="I55" s="314"/>
      <c r="J55" s="314"/>
      <c r="K55" s="314"/>
      <c r="L55" s="314"/>
    </row>
    <row r="56" customFormat="false" ht="60" hidden="false" customHeight="true" outlineLevel="0" collapsed="false">
      <c r="A56" s="2"/>
      <c r="B56" s="314" t="s">
        <v>5621</v>
      </c>
      <c r="C56" s="314"/>
      <c r="D56" s="314"/>
      <c r="E56" s="314"/>
      <c r="F56" s="314"/>
      <c r="G56" s="314"/>
      <c r="H56" s="314"/>
      <c r="I56" s="314"/>
      <c r="J56" s="314"/>
      <c r="K56" s="314"/>
      <c r="L56" s="314"/>
    </row>
    <row r="57" customFormat="false" ht="60" hidden="false" customHeight="true" outlineLevel="0" collapsed="false">
      <c r="A57" s="2"/>
      <c r="B57" s="314" t="s">
        <v>5622</v>
      </c>
      <c r="C57" s="314"/>
      <c r="D57" s="314"/>
      <c r="E57" s="314"/>
      <c r="F57" s="314"/>
      <c r="G57" s="314"/>
      <c r="H57" s="314"/>
      <c r="I57" s="314"/>
      <c r="J57" s="314"/>
      <c r="K57" s="314"/>
      <c r="L57" s="314"/>
    </row>
    <row r="58" customFormat="false" ht="60" hidden="false" customHeight="true" outlineLevel="0" collapsed="false">
      <c r="A58" s="2"/>
      <c r="B58" s="314" t="s">
        <v>5623</v>
      </c>
      <c r="C58" s="314"/>
      <c r="D58" s="314"/>
      <c r="E58" s="314"/>
      <c r="F58" s="314"/>
      <c r="G58" s="314"/>
      <c r="H58" s="314"/>
      <c r="I58" s="314"/>
      <c r="J58" s="314"/>
      <c r="K58" s="314"/>
      <c r="L58" s="314"/>
    </row>
    <row r="59" customFormat="false" ht="1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customFormat="false" ht="45" hidden="false" customHeight="true" outlineLevel="0" collapsed="false">
      <c r="A60" s="2"/>
      <c r="B60" s="311" t="s">
        <v>5624</v>
      </c>
      <c r="C60" s="311"/>
      <c r="D60" s="311"/>
      <c r="E60" s="311"/>
      <c r="F60" s="311"/>
      <c r="G60" s="311"/>
      <c r="H60" s="311"/>
      <c r="I60" s="311"/>
      <c r="J60" s="311"/>
      <c r="K60" s="311"/>
      <c r="L60" s="311"/>
    </row>
    <row r="61" customFormat="false" ht="30" hidden="false" customHeight="true" outlineLevel="0" collapsed="false">
      <c r="A61" s="2"/>
      <c r="B61" s="312" t="s">
        <v>5017</v>
      </c>
      <c r="C61" s="312" t="s">
        <v>5496</v>
      </c>
      <c r="D61" s="312" t="s">
        <v>5036</v>
      </c>
      <c r="E61" s="312" t="s">
        <v>5078</v>
      </c>
      <c r="F61" s="312" t="s">
        <v>5037</v>
      </c>
      <c r="G61" s="312" t="s">
        <v>6010</v>
      </c>
      <c r="H61" s="312" t="s">
        <v>5059</v>
      </c>
      <c r="I61" s="312" t="s">
        <v>913</v>
      </c>
      <c r="J61" s="2"/>
      <c r="K61" s="2"/>
      <c r="L61" s="2"/>
    </row>
    <row r="62" customFormat="false" ht="45" hidden="false" customHeight="true" outlineLevel="0" collapsed="false">
      <c r="A62" s="2"/>
      <c r="B62" s="313" t="s">
        <v>5025</v>
      </c>
      <c r="C62" s="313" t="n">
        <v>12</v>
      </c>
      <c r="D62" s="313" t="n">
        <v>40</v>
      </c>
      <c r="E62" s="313" t="n">
        <v>100</v>
      </c>
      <c r="F62" s="313" t="n">
        <v>14.2</v>
      </c>
      <c r="G62" s="313" t="n">
        <v>12.2</v>
      </c>
      <c r="H62" s="313" t="n">
        <v>10</v>
      </c>
      <c r="I62" s="313" t="s">
        <v>6011</v>
      </c>
      <c r="J62" s="2"/>
      <c r="K62" s="2"/>
      <c r="L62" s="2"/>
    </row>
    <row r="63" customFormat="false" ht="45" hidden="false" customHeight="true" outlineLevel="0" collapsed="false">
      <c r="A63" s="2"/>
      <c r="B63" s="313" t="s">
        <v>5027</v>
      </c>
      <c r="C63" s="313" t="n">
        <v>14</v>
      </c>
      <c r="D63" s="313" t="n">
        <v>40</v>
      </c>
      <c r="E63" s="313" t="n">
        <v>100</v>
      </c>
      <c r="F63" s="313" t="n">
        <v>22</v>
      </c>
      <c r="G63" s="313" t="n">
        <v>12.2</v>
      </c>
      <c r="H63" s="313" t="n">
        <v>15.5</v>
      </c>
      <c r="I63" s="313" t="s">
        <v>6012</v>
      </c>
      <c r="J63" s="2"/>
      <c r="K63" s="2"/>
      <c r="L63" s="2"/>
    </row>
    <row r="64" customFormat="false" ht="45" hidden="false" customHeight="true" outlineLevel="0" collapsed="false">
      <c r="A64" s="2"/>
      <c r="B64" s="313" t="s">
        <v>5029</v>
      </c>
      <c r="C64" s="313" t="n">
        <v>18</v>
      </c>
      <c r="D64" s="313" t="n">
        <v>40</v>
      </c>
      <c r="E64" s="313" t="n">
        <v>100</v>
      </c>
      <c r="F64" s="313" t="n">
        <v>32</v>
      </c>
      <c r="G64" s="313" t="n">
        <v>12.2</v>
      </c>
      <c r="H64" s="313" t="n">
        <v>23</v>
      </c>
      <c r="I64" s="313" t="s">
        <v>6013</v>
      </c>
      <c r="J64" s="2"/>
      <c r="K64" s="2"/>
      <c r="L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customFormat="false" ht="60" hidden="false" customHeight="true" outlineLevel="0" collapsed="false">
      <c r="A66" s="2"/>
      <c r="B66" s="60" t="s">
        <v>5629</v>
      </c>
      <c r="C66" s="2"/>
      <c r="D66" s="2"/>
      <c r="E66" s="2"/>
      <c r="F66" s="2"/>
      <c r="G66" s="2"/>
      <c r="H66" s="2"/>
      <c r="I66" s="2"/>
      <c r="J66" s="2"/>
      <c r="K66" s="2"/>
      <c r="L66" s="2"/>
    </row>
  </sheetData>
  <mergeCells count="17">
    <mergeCell ref="B2:L2"/>
    <mergeCell ref="B3:L3"/>
    <mergeCell ref="B4:L4"/>
    <mergeCell ref="B6:L6"/>
    <mergeCell ref="B14:L14"/>
    <mergeCell ref="B26:L26"/>
    <mergeCell ref="B38:L38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B60:L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8" min="5" style="1" width="14"/>
    <col collapsed="false" customWidth="true" hidden="false" outlineLevel="0" max="12" min="9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75" hidden="false" customHeight="true" outlineLevel="0" collapsed="false">
      <c r="A2" s="2"/>
      <c r="B2" s="299" t="s">
        <v>5630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90" hidden="false" customHeight="true" outlineLevel="0" collapsed="false">
      <c r="A3" s="2"/>
      <c r="B3" s="4" t="s">
        <v>5631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311" t="s">
        <v>5632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</row>
    <row r="6" customFormat="false" ht="30" hidden="false" customHeight="true" outlineLevel="0" collapsed="false">
      <c r="A6" s="2"/>
      <c r="B6" s="312" t="s">
        <v>5633</v>
      </c>
      <c r="C6" s="312" t="s">
        <v>5496</v>
      </c>
      <c r="D6" s="312" t="s">
        <v>5634</v>
      </c>
      <c r="E6" s="312" t="s">
        <v>5635</v>
      </c>
      <c r="F6" s="312" t="s">
        <v>5636</v>
      </c>
      <c r="G6" s="312" t="s">
        <v>5672</v>
      </c>
      <c r="H6" s="312" t="s">
        <v>6014</v>
      </c>
      <c r="I6" s="312" t="s">
        <v>6015</v>
      </c>
      <c r="J6" s="2"/>
      <c r="K6" s="2"/>
      <c r="L6" s="2"/>
    </row>
    <row r="7" customFormat="false" ht="45" hidden="false" customHeight="true" outlineLevel="0" collapsed="false">
      <c r="A7" s="2"/>
      <c r="B7" s="313" t="s">
        <v>5638</v>
      </c>
      <c r="C7" s="313" t="n">
        <v>5</v>
      </c>
      <c r="D7" s="313" t="n">
        <v>25</v>
      </c>
      <c r="E7" s="313" t="s">
        <v>5639</v>
      </c>
      <c r="F7" s="313" t="s">
        <v>5640</v>
      </c>
      <c r="G7" s="313" t="n">
        <v>0.16</v>
      </c>
      <c r="H7" s="313" t="n">
        <v>0.1</v>
      </c>
      <c r="I7" s="313" t="s">
        <v>6016</v>
      </c>
      <c r="J7" s="2"/>
      <c r="K7" s="2"/>
      <c r="L7" s="2"/>
    </row>
    <row r="8" customFormat="false" ht="45" hidden="false" customHeight="true" outlineLevel="0" collapsed="false">
      <c r="A8" s="2"/>
      <c r="B8" s="313" t="s">
        <v>5642</v>
      </c>
      <c r="C8" s="313" t="n">
        <v>6</v>
      </c>
      <c r="D8" s="313" t="n">
        <v>30</v>
      </c>
      <c r="E8" s="313" t="s">
        <v>5643</v>
      </c>
      <c r="F8" s="313" t="s">
        <v>5644</v>
      </c>
      <c r="G8" s="313" t="n">
        <v>0.26</v>
      </c>
      <c r="H8" s="313" t="n">
        <v>0.14</v>
      </c>
      <c r="I8" s="313" t="s">
        <v>6017</v>
      </c>
      <c r="J8" s="2"/>
      <c r="K8" s="2"/>
      <c r="L8" s="2"/>
    </row>
    <row r="9" customFormat="false" ht="45" hidden="false" customHeight="true" outlineLevel="0" collapsed="false">
      <c r="A9" s="2"/>
      <c r="B9" s="313" t="s">
        <v>5646</v>
      </c>
      <c r="C9" s="313" t="n">
        <v>6</v>
      </c>
      <c r="D9" s="313" t="n">
        <v>50</v>
      </c>
      <c r="E9" s="313" t="s">
        <v>5643</v>
      </c>
      <c r="F9" s="313" t="s">
        <v>5647</v>
      </c>
      <c r="G9" s="313" t="n">
        <v>0.26</v>
      </c>
      <c r="H9" s="313" t="n">
        <v>0.14</v>
      </c>
      <c r="I9" s="313" t="s">
        <v>6018</v>
      </c>
      <c r="J9" s="2"/>
      <c r="K9" s="2"/>
      <c r="L9" s="2"/>
    </row>
    <row r="10" customFormat="false" ht="30" hidden="false" customHeight="true" outlineLevel="0" collapsed="false">
      <c r="A10" s="2"/>
      <c r="B10" s="313" t="s">
        <v>5649</v>
      </c>
      <c r="C10" s="313" t="n">
        <v>8</v>
      </c>
      <c r="D10" s="313" t="n">
        <v>40</v>
      </c>
      <c r="E10" s="313" t="s">
        <v>5650</v>
      </c>
      <c r="F10" s="313" t="s">
        <v>5651</v>
      </c>
      <c r="G10" s="313" t="n">
        <v>0.51</v>
      </c>
      <c r="H10" s="313" t="n">
        <v>0.25</v>
      </c>
      <c r="I10" s="313" t="s">
        <v>6019</v>
      </c>
      <c r="J10" s="2"/>
      <c r="K10" s="2"/>
      <c r="L10" s="2"/>
    </row>
    <row r="11" customFormat="false" ht="45" hidden="false" customHeight="true" outlineLevel="0" collapsed="false">
      <c r="A11" s="2"/>
      <c r="B11" s="313" t="s">
        <v>5653</v>
      </c>
      <c r="C11" s="313" t="n">
        <v>8</v>
      </c>
      <c r="D11" s="313" t="n">
        <v>65</v>
      </c>
      <c r="E11" s="313" t="s">
        <v>5650</v>
      </c>
      <c r="F11" s="313" t="s">
        <v>5654</v>
      </c>
      <c r="G11" s="313" t="n">
        <v>0.51</v>
      </c>
      <c r="H11" s="313" t="n">
        <v>0.25</v>
      </c>
      <c r="I11" s="313" t="s">
        <v>6020</v>
      </c>
      <c r="J11" s="2"/>
      <c r="K11" s="2"/>
      <c r="L11" s="2"/>
    </row>
    <row r="12" customFormat="false" ht="30" hidden="false" customHeight="true" outlineLevel="0" collapsed="false">
      <c r="A12" s="2"/>
      <c r="B12" s="313" t="s">
        <v>5656</v>
      </c>
      <c r="C12" s="313" t="n">
        <v>10</v>
      </c>
      <c r="D12" s="313" t="n">
        <v>50</v>
      </c>
      <c r="E12" s="313" t="s">
        <v>5657</v>
      </c>
      <c r="F12" s="313" t="s">
        <v>5658</v>
      </c>
      <c r="G12" s="313" t="n">
        <v>0.88</v>
      </c>
      <c r="H12" s="313" t="n">
        <v>0.4</v>
      </c>
      <c r="I12" s="313" t="s">
        <v>6021</v>
      </c>
      <c r="J12" s="2"/>
      <c r="K12" s="2"/>
      <c r="L12" s="2"/>
    </row>
    <row r="13" customFormat="false" ht="45" hidden="false" customHeight="true" outlineLevel="0" collapsed="false">
      <c r="A13" s="2"/>
      <c r="B13" s="313" t="s">
        <v>5660</v>
      </c>
      <c r="C13" s="313" t="n">
        <v>10</v>
      </c>
      <c r="D13" s="313" t="n">
        <v>80</v>
      </c>
      <c r="E13" s="313" t="s">
        <v>5657</v>
      </c>
      <c r="F13" s="313" t="s">
        <v>5661</v>
      </c>
      <c r="G13" s="313" t="n">
        <v>0.88</v>
      </c>
      <c r="H13" s="313" t="n">
        <v>0.4</v>
      </c>
      <c r="I13" s="313" t="s">
        <v>6022</v>
      </c>
      <c r="J13" s="2"/>
      <c r="K13" s="2"/>
      <c r="L13" s="2"/>
    </row>
    <row r="14" customFormat="false" ht="45" hidden="false" customHeight="true" outlineLevel="0" collapsed="false">
      <c r="A14" s="2"/>
      <c r="B14" s="313" t="s">
        <v>5663</v>
      </c>
      <c r="C14" s="313" t="n">
        <v>12</v>
      </c>
      <c r="D14" s="313" t="n">
        <v>60</v>
      </c>
      <c r="E14" s="313" t="s">
        <v>5664</v>
      </c>
      <c r="F14" s="313" t="s">
        <v>5665</v>
      </c>
      <c r="G14" s="313" t="n">
        <v>1.28</v>
      </c>
      <c r="H14" s="313" t="n">
        <v>0.55</v>
      </c>
      <c r="I14" s="313" t="s">
        <v>6023</v>
      </c>
      <c r="J14" s="2"/>
      <c r="K14" s="2"/>
      <c r="L14" s="2"/>
    </row>
    <row r="15" customFormat="false" ht="30" hidden="false" customHeight="true" outlineLevel="0" collapsed="false">
      <c r="A15" s="2"/>
      <c r="B15" s="313" t="s">
        <v>5667</v>
      </c>
      <c r="C15" s="313" t="n">
        <v>14</v>
      </c>
      <c r="D15" s="313" t="n">
        <v>70</v>
      </c>
      <c r="E15" s="313" t="s">
        <v>5668</v>
      </c>
      <c r="F15" s="313" t="s">
        <v>5669</v>
      </c>
      <c r="G15" s="313" t="n">
        <v>1.8</v>
      </c>
      <c r="H15" s="313" t="n">
        <v>0.7</v>
      </c>
      <c r="I15" s="313" t="s">
        <v>6024</v>
      </c>
      <c r="J15" s="2"/>
      <c r="K15" s="2"/>
      <c r="L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45" hidden="false" customHeight="true" outlineLevel="0" collapsed="false">
      <c r="A17" s="2"/>
      <c r="B17" s="311" t="s">
        <v>5671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</row>
    <row r="18" customFormat="false" ht="30" hidden="false" customHeight="true" outlineLevel="0" collapsed="false">
      <c r="A18" s="2"/>
      <c r="B18" s="312" t="s">
        <v>5633</v>
      </c>
      <c r="C18" s="312" t="s">
        <v>5496</v>
      </c>
      <c r="D18" s="312" t="s">
        <v>5634</v>
      </c>
      <c r="E18" s="312" t="s">
        <v>5635</v>
      </c>
      <c r="F18" s="312" t="s">
        <v>5672</v>
      </c>
      <c r="G18" s="312" t="s">
        <v>5266</v>
      </c>
      <c r="H18" s="2"/>
      <c r="I18" s="2"/>
      <c r="J18" s="2"/>
      <c r="K18" s="2"/>
      <c r="L18" s="2"/>
    </row>
    <row r="19" customFormat="false" ht="45" hidden="false" customHeight="true" outlineLevel="0" collapsed="false">
      <c r="A19" s="2"/>
      <c r="B19" s="313" t="s">
        <v>5674</v>
      </c>
      <c r="C19" s="313" t="n">
        <v>5</v>
      </c>
      <c r="D19" s="313" t="n">
        <v>25</v>
      </c>
      <c r="E19" s="313" t="s">
        <v>5675</v>
      </c>
      <c r="F19" s="313" t="n">
        <v>0.12</v>
      </c>
      <c r="G19" s="313" t="s">
        <v>6025</v>
      </c>
      <c r="H19" s="2"/>
      <c r="I19" s="2"/>
      <c r="J19" s="2"/>
      <c r="K19" s="2"/>
      <c r="L19" s="2"/>
    </row>
    <row r="20" customFormat="false" ht="45" hidden="false" customHeight="true" outlineLevel="0" collapsed="false">
      <c r="A20" s="2"/>
      <c r="B20" s="313" t="s">
        <v>5678</v>
      </c>
      <c r="C20" s="313" t="n">
        <v>6</v>
      </c>
      <c r="D20" s="313" t="n">
        <v>30</v>
      </c>
      <c r="E20" s="313" t="s">
        <v>5643</v>
      </c>
      <c r="F20" s="313" t="n">
        <v>0.21</v>
      </c>
      <c r="G20" s="313" t="s">
        <v>6026</v>
      </c>
      <c r="H20" s="2"/>
      <c r="I20" s="2"/>
      <c r="J20" s="2"/>
      <c r="K20" s="2"/>
      <c r="L20" s="2"/>
    </row>
    <row r="21" customFormat="false" ht="45" hidden="false" customHeight="true" outlineLevel="0" collapsed="false">
      <c r="A21" s="2"/>
      <c r="B21" s="313" t="s">
        <v>5680</v>
      </c>
      <c r="C21" s="313" t="n">
        <v>8</v>
      </c>
      <c r="D21" s="313" t="n">
        <v>40</v>
      </c>
      <c r="E21" s="313" t="s">
        <v>5650</v>
      </c>
      <c r="F21" s="313" t="n">
        <v>0.39</v>
      </c>
      <c r="G21" s="313" t="s">
        <v>6027</v>
      </c>
      <c r="H21" s="2"/>
      <c r="I21" s="2"/>
      <c r="J21" s="2"/>
      <c r="K21" s="2"/>
      <c r="L21" s="2"/>
    </row>
    <row r="22" customFormat="false" ht="45" hidden="false" customHeight="true" outlineLevel="0" collapsed="false">
      <c r="A22" s="2"/>
      <c r="B22" s="313" t="s">
        <v>5683</v>
      </c>
      <c r="C22" s="313" t="n">
        <v>10</v>
      </c>
      <c r="D22" s="313" t="n">
        <v>50</v>
      </c>
      <c r="E22" s="313" t="s">
        <v>5684</v>
      </c>
      <c r="F22" s="313" t="n">
        <v>0.71</v>
      </c>
      <c r="G22" s="313" t="s">
        <v>6028</v>
      </c>
      <c r="H22" s="2"/>
      <c r="I22" s="2"/>
      <c r="J22" s="2"/>
      <c r="K22" s="2"/>
      <c r="L22" s="2"/>
    </row>
    <row r="23" customFormat="false" ht="45" hidden="false" customHeight="true" outlineLevel="0" collapsed="false">
      <c r="A23" s="2"/>
      <c r="B23" s="313" t="s">
        <v>5686</v>
      </c>
      <c r="C23" s="313" t="n">
        <v>12</v>
      </c>
      <c r="D23" s="313" t="n">
        <v>60</v>
      </c>
      <c r="E23" s="313" t="s">
        <v>5687</v>
      </c>
      <c r="F23" s="313" t="n">
        <v>1.1</v>
      </c>
      <c r="G23" s="313" t="s">
        <v>6029</v>
      </c>
      <c r="H23" s="2"/>
      <c r="I23" s="2"/>
      <c r="J23" s="2"/>
      <c r="K23" s="2"/>
      <c r="L23" s="2"/>
    </row>
    <row r="24" customFormat="false" ht="45" hidden="false" customHeight="true" outlineLevel="0" collapsed="false">
      <c r="A24" s="2"/>
      <c r="B24" s="313" t="s">
        <v>5689</v>
      </c>
      <c r="C24" s="313" t="n">
        <v>14</v>
      </c>
      <c r="D24" s="313" t="n">
        <v>70</v>
      </c>
      <c r="E24" s="313" t="s">
        <v>5690</v>
      </c>
      <c r="F24" s="313" t="n">
        <v>1.5</v>
      </c>
      <c r="G24" s="313" t="s">
        <v>6030</v>
      </c>
      <c r="H24" s="2"/>
      <c r="I24" s="2"/>
      <c r="J24" s="2"/>
      <c r="K24" s="2"/>
      <c r="L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customFormat="false" ht="45" hidden="false" customHeight="true" outlineLevel="0" collapsed="false">
      <c r="A26" s="2"/>
      <c r="B26" s="311" t="s">
        <v>5692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</row>
    <row r="27" customFormat="false" ht="30" hidden="false" customHeight="true" outlineLevel="0" collapsed="false">
      <c r="A27" s="2"/>
      <c r="B27" s="312" t="s">
        <v>5263</v>
      </c>
      <c r="C27" s="312" t="s">
        <v>5693</v>
      </c>
      <c r="D27" s="312" t="s">
        <v>5694</v>
      </c>
      <c r="E27" s="312" t="s">
        <v>5695</v>
      </c>
      <c r="F27" s="312" t="s">
        <v>4795</v>
      </c>
      <c r="G27" s="312" t="s">
        <v>6031</v>
      </c>
      <c r="H27" s="312" t="s">
        <v>5266</v>
      </c>
      <c r="I27" s="2"/>
      <c r="J27" s="2"/>
      <c r="K27" s="2"/>
      <c r="L27" s="2"/>
    </row>
    <row r="28" customFormat="false" ht="45" hidden="false" customHeight="true" outlineLevel="0" collapsed="false">
      <c r="A28" s="2"/>
      <c r="B28" s="313" t="s">
        <v>5697</v>
      </c>
      <c r="C28" s="313" t="n">
        <v>8</v>
      </c>
      <c r="D28" s="313" t="s">
        <v>5698</v>
      </c>
      <c r="E28" s="313" t="s">
        <v>5699</v>
      </c>
      <c r="F28" s="313" t="s">
        <v>5700</v>
      </c>
      <c r="G28" s="313" t="n">
        <v>1</v>
      </c>
      <c r="H28" s="313" t="s">
        <v>6032</v>
      </c>
      <c r="I28" s="2"/>
      <c r="J28" s="2"/>
      <c r="K28" s="2"/>
      <c r="L28" s="2"/>
    </row>
    <row r="29" customFormat="false" ht="45" hidden="false" customHeight="true" outlineLevel="0" collapsed="false">
      <c r="A29" s="2"/>
      <c r="B29" s="313" t="s">
        <v>5702</v>
      </c>
      <c r="C29" s="313" t="n">
        <v>10</v>
      </c>
      <c r="D29" s="313" t="s">
        <v>5703</v>
      </c>
      <c r="E29" s="313" t="s">
        <v>5704</v>
      </c>
      <c r="F29" s="313" t="s">
        <v>5700</v>
      </c>
      <c r="G29" s="313" t="n">
        <v>1.8</v>
      </c>
      <c r="H29" s="313" t="s">
        <v>6033</v>
      </c>
      <c r="I29" s="2"/>
      <c r="J29" s="2"/>
      <c r="K29" s="2"/>
      <c r="L29" s="2"/>
    </row>
    <row r="30" customFormat="false" ht="45" hidden="false" customHeight="true" outlineLevel="0" collapsed="false">
      <c r="A30" s="2"/>
      <c r="B30" s="313" t="s">
        <v>5706</v>
      </c>
      <c r="C30" s="313" t="n">
        <v>8</v>
      </c>
      <c r="D30" s="313" t="s">
        <v>5707</v>
      </c>
      <c r="E30" s="313" t="s">
        <v>5704</v>
      </c>
      <c r="F30" s="313" t="s">
        <v>5700</v>
      </c>
      <c r="G30" s="313" t="n">
        <v>1</v>
      </c>
      <c r="H30" s="313" t="s">
        <v>6034</v>
      </c>
      <c r="I30" s="2"/>
      <c r="J30" s="2"/>
      <c r="K30" s="2"/>
      <c r="L30" s="2"/>
    </row>
    <row r="31" customFormat="false" ht="45" hidden="false" customHeight="true" outlineLevel="0" collapsed="false">
      <c r="A31" s="2"/>
      <c r="B31" s="313" t="s">
        <v>5709</v>
      </c>
      <c r="C31" s="313" t="n">
        <v>10</v>
      </c>
      <c r="D31" s="313" t="s">
        <v>5710</v>
      </c>
      <c r="E31" s="313" t="s">
        <v>5704</v>
      </c>
      <c r="F31" s="313" t="s">
        <v>5700</v>
      </c>
      <c r="G31" s="313" t="n">
        <v>1.8</v>
      </c>
      <c r="H31" s="313" t="s">
        <v>6035</v>
      </c>
      <c r="I31" s="2"/>
      <c r="J31" s="2"/>
      <c r="K31" s="2"/>
      <c r="L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customFormat="false" ht="45" hidden="false" customHeight="true" outlineLevel="0" collapsed="false">
      <c r="A33" s="2"/>
      <c r="B33" s="311" t="s">
        <v>5712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</row>
    <row r="34" customFormat="false" ht="30" hidden="false" customHeight="true" outlineLevel="0" collapsed="false">
      <c r="A34" s="2"/>
      <c r="B34" s="312" t="s">
        <v>5633</v>
      </c>
      <c r="C34" s="312" t="s">
        <v>5496</v>
      </c>
      <c r="D34" s="312" t="s">
        <v>5713</v>
      </c>
      <c r="E34" s="312" t="s">
        <v>5672</v>
      </c>
      <c r="F34" s="312" t="s">
        <v>5714</v>
      </c>
      <c r="G34" s="312" t="s">
        <v>5266</v>
      </c>
      <c r="H34" s="2"/>
      <c r="I34" s="2"/>
      <c r="J34" s="2"/>
      <c r="K34" s="2"/>
      <c r="L34" s="2"/>
    </row>
    <row r="35" customFormat="false" ht="60" hidden="false" customHeight="true" outlineLevel="0" collapsed="false">
      <c r="A35" s="2"/>
      <c r="B35" s="313" t="s">
        <v>5716</v>
      </c>
      <c r="C35" s="313" t="n">
        <v>5</v>
      </c>
      <c r="D35" s="313" t="n">
        <v>30</v>
      </c>
      <c r="E35" s="313" t="n">
        <v>0.14</v>
      </c>
      <c r="F35" s="313" t="n">
        <v>0.08</v>
      </c>
      <c r="G35" s="313" t="s">
        <v>6036</v>
      </c>
      <c r="H35" s="2"/>
      <c r="I35" s="2"/>
      <c r="J35" s="2"/>
      <c r="K35" s="2"/>
      <c r="L35" s="2"/>
    </row>
    <row r="36" customFormat="false" ht="30" hidden="false" customHeight="true" outlineLevel="0" collapsed="false">
      <c r="A36" s="2"/>
      <c r="B36" s="313" t="s">
        <v>5720</v>
      </c>
      <c r="C36" s="313" t="n">
        <v>5</v>
      </c>
      <c r="D36" s="313" t="n">
        <v>40</v>
      </c>
      <c r="E36" s="313" t="n">
        <v>0.14</v>
      </c>
      <c r="F36" s="313" t="n">
        <v>0.08</v>
      </c>
      <c r="G36" s="313" t="s">
        <v>6037</v>
      </c>
      <c r="H36" s="2"/>
      <c r="I36" s="2"/>
      <c r="J36" s="2"/>
      <c r="K36" s="2"/>
      <c r="L36" s="2"/>
    </row>
    <row r="37" customFormat="false" ht="30" hidden="false" customHeight="true" outlineLevel="0" collapsed="false">
      <c r="A37" s="2"/>
      <c r="B37" s="313" t="s">
        <v>5722</v>
      </c>
      <c r="C37" s="313" t="n">
        <v>5</v>
      </c>
      <c r="D37" s="313" t="n">
        <v>50</v>
      </c>
      <c r="E37" s="313" t="n">
        <v>0.14</v>
      </c>
      <c r="F37" s="313" t="n">
        <v>0.08</v>
      </c>
      <c r="G37" s="313" t="s">
        <v>6038</v>
      </c>
      <c r="H37" s="2"/>
      <c r="I37" s="2"/>
      <c r="J37" s="2"/>
      <c r="K37" s="2"/>
      <c r="L37" s="2"/>
    </row>
    <row r="38" customFormat="false" ht="45" hidden="false" customHeight="true" outlineLevel="0" collapsed="false">
      <c r="A38" s="2"/>
      <c r="B38" s="313" t="s">
        <v>5724</v>
      </c>
      <c r="C38" s="313" t="n">
        <v>6</v>
      </c>
      <c r="D38" s="313" t="n">
        <v>40</v>
      </c>
      <c r="E38" s="313" t="n">
        <v>0.22</v>
      </c>
      <c r="F38" s="313" t="n">
        <v>0.13</v>
      </c>
      <c r="G38" s="313" t="s">
        <v>6039</v>
      </c>
      <c r="H38" s="2"/>
      <c r="I38" s="2"/>
      <c r="J38" s="2"/>
      <c r="K38" s="2"/>
      <c r="L38" s="2"/>
    </row>
    <row r="39" customFormat="false" ht="45" hidden="false" customHeight="true" outlineLevel="0" collapsed="false">
      <c r="A39" s="2"/>
      <c r="B39" s="313" t="s">
        <v>5728</v>
      </c>
      <c r="C39" s="313" t="n">
        <v>6</v>
      </c>
      <c r="D39" s="313" t="n">
        <v>60</v>
      </c>
      <c r="E39" s="313" t="n">
        <v>0.22</v>
      </c>
      <c r="F39" s="313" t="n">
        <v>0.13</v>
      </c>
      <c r="G39" s="313" t="s">
        <v>6040</v>
      </c>
      <c r="H39" s="2"/>
      <c r="I39" s="2"/>
      <c r="J39" s="2"/>
      <c r="K39" s="2"/>
      <c r="L39" s="2"/>
    </row>
    <row r="40" customFormat="false" ht="30" hidden="false" customHeight="true" outlineLevel="0" collapsed="false">
      <c r="A40" s="2"/>
      <c r="B40" s="313" t="s">
        <v>5730</v>
      </c>
      <c r="C40" s="313" t="n">
        <v>6</v>
      </c>
      <c r="D40" s="313" t="n">
        <v>80</v>
      </c>
      <c r="E40" s="313" t="n">
        <v>0.22</v>
      </c>
      <c r="F40" s="313" t="n">
        <v>0.13</v>
      </c>
      <c r="G40" s="313" t="s">
        <v>6041</v>
      </c>
      <c r="H40" s="2"/>
      <c r="I40" s="2"/>
      <c r="J40" s="2"/>
      <c r="K40" s="2"/>
      <c r="L40" s="2"/>
    </row>
    <row r="41" customFormat="false" ht="30" hidden="false" customHeight="true" outlineLevel="0" collapsed="false">
      <c r="A41" s="2"/>
      <c r="B41" s="313" t="s">
        <v>5732</v>
      </c>
      <c r="C41" s="313" t="n">
        <v>8</v>
      </c>
      <c r="D41" s="313" t="n">
        <v>60</v>
      </c>
      <c r="E41" s="313" t="n">
        <v>0.42</v>
      </c>
      <c r="F41" s="313" t="n">
        <v>0.22</v>
      </c>
      <c r="G41" s="313" t="s">
        <v>6042</v>
      </c>
      <c r="H41" s="2"/>
      <c r="I41" s="2"/>
      <c r="J41" s="2"/>
      <c r="K41" s="2"/>
      <c r="L41" s="2"/>
    </row>
    <row r="42" customFormat="false" ht="45" hidden="false" customHeight="true" outlineLevel="0" collapsed="false">
      <c r="A42" s="2"/>
      <c r="B42" s="313" t="s">
        <v>5735</v>
      </c>
      <c r="C42" s="313" t="n">
        <v>8</v>
      </c>
      <c r="D42" s="313" t="n">
        <v>80</v>
      </c>
      <c r="E42" s="313" t="n">
        <v>0.42</v>
      </c>
      <c r="F42" s="313" t="n">
        <v>0.22</v>
      </c>
      <c r="G42" s="313" t="s">
        <v>6043</v>
      </c>
      <c r="H42" s="2"/>
      <c r="I42" s="2"/>
      <c r="J42" s="2"/>
      <c r="K42" s="2"/>
      <c r="L42" s="2"/>
    </row>
    <row r="43" customFormat="false" ht="45" hidden="false" customHeight="true" outlineLevel="0" collapsed="false">
      <c r="A43" s="2"/>
      <c r="B43" s="313" t="s">
        <v>5737</v>
      </c>
      <c r="C43" s="313" t="n">
        <v>8</v>
      </c>
      <c r="D43" s="313" t="n">
        <v>100</v>
      </c>
      <c r="E43" s="313" t="n">
        <v>0.42</v>
      </c>
      <c r="F43" s="313" t="n">
        <v>0.22</v>
      </c>
      <c r="G43" s="313" t="s">
        <v>6044</v>
      </c>
      <c r="H43" s="2"/>
      <c r="I43" s="2"/>
      <c r="J43" s="2"/>
      <c r="K43" s="2"/>
      <c r="L43" s="2"/>
    </row>
    <row r="44" customFormat="false" ht="1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customFormat="false" ht="60" hidden="false" customHeight="true" outlineLevel="0" collapsed="false">
      <c r="A45" s="2"/>
      <c r="B45" s="311" t="s">
        <v>5739</v>
      </c>
      <c r="C45" s="311"/>
      <c r="D45" s="311"/>
      <c r="E45" s="311"/>
      <c r="F45" s="311"/>
      <c r="G45" s="311"/>
      <c r="H45" s="311"/>
      <c r="I45" s="311"/>
      <c r="J45" s="311"/>
      <c r="K45" s="311"/>
      <c r="L45" s="311"/>
    </row>
    <row r="46" customFormat="false" ht="30" hidden="false" customHeight="true" outlineLevel="0" collapsed="false">
      <c r="A46" s="2"/>
      <c r="B46" s="312" t="s">
        <v>5017</v>
      </c>
      <c r="C46" s="312" t="s">
        <v>5496</v>
      </c>
      <c r="D46" s="312" t="s">
        <v>5036</v>
      </c>
      <c r="E46" s="312" t="s">
        <v>5078</v>
      </c>
      <c r="F46" s="312" t="s">
        <v>5441</v>
      </c>
      <c r="G46" s="312" t="s">
        <v>6045</v>
      </c>
      <c r="H46" s="312" t="s">
        <v>6046</v>
      </c>
      <c r="I46" s="312" t="s">
        <v>913</v>
      </c>
      <c r="J46" s="2"/>
      <c r="K46" s="2"/>
      <c r="L46" s="2"/>
    </row>
    <row r="47" customFormat="false" ht="30" hidden="false" customHeight="true" outlineLevel="0" collapsed="false">
      <c r="A47" s="2"/>
      <c r="B47" s="313" t="s">
        <v>5023</v>
      </c>
      <c r="C47" s="313" t="n">
        <v>10</v>
      </c>
      <c r="D47" s="313" t="n">
        <v>25</v>
      </c>
      <c r="E47" s="313" t="n">
        <v>80</v>
      </c>
      <c r="F47" s="313" t="n">
        <v>7.1</v>
      </c>
      <c r="G47" s="313" t="n">
        <v>4.2</v>
      </c>
      <c r="H47" s="313" t="s">
        <v>6047</v>
      </c>
      <c r="I47" s="313" t="s">
        <v>6048</v>
      </c>
      <c r="J47" s="2"/>
      <c r="K47" s="2"/>
      <c r="L47" s="2"/>
    </row>
    <row r="48" customFormat="false" ht="30" hidden="false" customHeight="true" outlineLevel="0" collapsed="false">
      <c r="A48" s="2"/>
      <c r="B48" s="313" t="s">
        <v>5025</v>
      </c>
      <c r="C48" s="313" t="n">
        <v>12</v>
      </c>
      <c r="D48" s="313" t="n">
        <v>30</v>
      </c>
      <c r="E48" s="313" t="n">
        <v>100</v>
      </c>
      <c r="F48" s="313" t="n">
        <v>11.8</v>
      </c>
      <c r="G48" s="313" t="n">
        <v>10.6</v>
      </c>
      <c r="H48" s="313" t="s">
        <v>6047</v>
      </c>
      <c r="I48" s="313" t="s">
        <v>6049</v>
      </c>
      <c r="J48" s="2"/>
      <c r="K48" s="2"/>
      <c r="L48" s="2"/>
    </row>
    <row r="49" customFormat="false" ht="30" hidden="false" customHeight="true" outlineLevel="0" collapsed="false">
      <c r="A49" s="2"/>
      <c r="B49" s="313" t="s">
        <v>5027</v>
      </c>
      <c r="C49" s="313" t="n">
        <v>15</v>
      </c>
      <c r="D49" s="313" t="n">
        <v>40</v>
      </c>
      <c r="E49" s="313" t="n">
        <v>110</v>
      </c>
      <c r="F49" s="313" t="n">
        <v>19.4</v>
      </c>
      <c r="G49" s="313" t="n">
        <v>16.8</v>
      </c>
      <c r="H49" s="313" t="s">
        <v>6047</v>
      </c>
      <c r="I49" s="313" t="s">
        <v>6050</v>
      </c>
      <c r="J49" s="2"/>
      <c r="K49" s="2"/>
      <c r="L49" s="2"/>
    </row>
    <row r="50" customFormat="false" ht="45" hidden="false" customHeight="true" outlineLevel="0" collapsed="false">
      <c r="A50" s="2"/>
      <c r="B50" s="313" t="s">
        <v>5029</v>
      </c>
      <c r="C50" s="313" t="n">
        <v>18</v>
      </c>
      <c r="D50" s="313" t="n">
        <v>50</v>
      </c>
      <c r="E50" s="313" t="n">
        <v>120</v>
      </c>
      <c r="F50" s="313" t="n">
        <v>29.7</v>
      </c>
      <c r="G50" s="313" t="n">
        <v>25</v>
      </c>
      <c r="H50" s="313" t="s">
        <v>6047</v>
      </c>
      <c r="I50" s="313" t="s">
        <v>6051</v>
      </c>
      <c r="J50" s="2"/>
      <c r="K50" s="2"/>
      <c r="L50" s="2"/>
    </row>
    <row r="51" customFormat="false" ht="45" hidden="false" customHeight="true" outlineLevel="0" collapsed="false">
      <c r="A51" s="2"/>
      <c r="B51" s="313" t="s">
        <v>5031</v>
      </c>
      <c r="C51" s="313" t="n">
        <v>22</v>
      </c>
      <c r="D51" s="313" t="n">
        <v>55</v>
      </c>
      <c r="E51" s="313" t="n">
        <v>140</v>
      </c>
      <c r="F51" s="313" t="n">
        <v>51.9</v>
      </c>
      <c r="G51" s="313" t="n">
        <v>44.1</v>
      </c>
      <c r="H51" s="313" t="s">
        <v>6047</v>
      </c>
      <c r="I51" s="313" t="s">
        <v>6052</v>
      </c>
      <c r="J51" s="2"/>
      <c r="K51" s="2"/>
      <c r="L51" s="2"/>
    </row>
    <row r="52" customFormat="false" ht="30" hidden="false" customHeight="true" outlineLevel="0" collapsed="false">
      <c r="A52" s="2"/>
      <c r="B52" s="313" t="s">
        <v>5033</v>
      </c>
      <c r="C52" s="313" t="n">
        <v>28</v>
      </c>
      <c r="D52" s="313" t="n">
        <v>65</v>
      </c>
      <c r="E52" s="313" t="n">
        <v>160</v>
      </c>
      <c r="F52" s="313" t="n">
        <v>71.3</v>
      </c>
      <c r="G52" s="313" t="n">
        <v>53.6</v>
      </c>
      <c r="H52" s="313" t="s">
        <v>6047</v>
      </c>
      <c r="I52" s="313" t="s">
        <v>6053</v>
      </c>
      <c r="J52" s="2"/>
      <c r="K52" s="2"/>
      <c r="L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customFormat="false" ht="75" hidden="false" customHeight="true" outlineLevel="0" collapsed="false">
      <c r="A54" s="2"/>
      <c r="B54" s="60" t="s">
        <v>5747</v>
      </c>
      <c r="C54" s="2"/>
      <c r="D54" s="2"/>
      <c r="E54" s="2"/>
      <c r="F54" s="2"/>
      <c r="G54" s="2"/>
      <c r="H54" s="2"/>
      <c r="I54" s="2"/>
      <c r="J54" s="2"/>
      <c r="K54" s="2"/>
      <c r="L54" s="2"/>
    </row>
  </sheetData>
  <mergeCells count="7">
    <mergeCell ref="B2:L2"/>
    <mergeCell ref="B3:L3"/>
    <mergeCell ref="B5:L5"/>
    <mergeCell ref="B17:L17"/>
    <mergeCell ref="B26:L26"/>
    <mergeCell ref="B33:L33"/>
    <mergeCell ref="B45:L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3" min="3" style="1" width="6"/>
    <col collapsed="false" customWidth="true" hidden="false" outlineLevel="0" max="9" min="4" style="1" width="25"/>
    <col collapsed="false" customWidth="true" hidden="false" outlineLevel="0" max="10" min="10" style="1" width="60"/>
  </cols>
  <sheetData>
    <row r="1" customFormat="false" ht="15" hidden="false" customHeight="true" outlineLevel="0" collapsed="false">
      <c r="A1" s="44" t="s">
        <v>219</v>
      </c>
      <c r="B1" s="44" t="s">
        <v>40</v>
      </c>
      <c r="C1" s="44" t="s">
        <v>41</v>
      </c>
      <c r="D1" s="44" t="s">
        <v>220</v>
      </c>
      <c r="E1" s="44" t="s">
        <v>221</v>
      </c>
      <c r="F1" s="44" t="s">
        <v>222</v>
      </c>
      <c r="G1" s="44" t="s">
        <v>223</v>
      </c>
      <c r="H1" s="44" t="s">
        <v>224</v>
      </c>
      <c r="I1" s="44" t="s">
        <v>225</v>
      </c>
      <c r="J1" s="44" t="s">
        <v>226</v>
      </c>
      <c r="K1" s="45" t="s">
        <v>227</v>
      </c>
      <c r="L1" s="45" t="s">
        <v>228</v>
      </c>
    </row>
    <row r="2" customFormat="false" ht="15" hidden="false" customHeight="true" outlineLevel="0" collapsed="false">
      <c r="A2" s="1" t="s">
        <v>18</v>
      </c>
      <c r="B2" s="1" t="s">
        <v>229</v>
      </c>
      <c r="C2" s="1" t="n">
        <v>2</v>
      </c>
      <c r="E2" s="1" t="s">
        <v>230</v>
      </c>
      <c r="J2" s="1" t="s">
        <v>230</v>
      </c>
      <c r="K2" s="1" t="n">
        <f aca="false">IF(Search!$D$5="",0,IF(AND(OR(Search!$N$5="",ISNUMBER(SEARCH(Search!$N$5,J2))),OR(Search!$N$6="",ISNUMBER(SEARCH(Search!$N$6,J2))),OR(Search!$N$7="",ISNUMBER(SEARCH(Search!$N$7,J2))),OR(Search!$N$8="",ISNUMBER(SEARCH(Search!$N$8,J2)))),1,0))</f>
        <v>0</v>
      </c>
      <c r="L2" s="1" t="n">
        <f aca="false">K2</f>
        <v>0</v>
      </c>
    </row>
    <row r="3" customFormat="false" ht="15" hidden="false" customHeight="true" outlineLevel="0" collapsed="false">
      <c r="A3" s="1" t="s">
        <v>18</v>
      </c>
      <c r="B3" s="1" t="s">
        <v>229</v>
      </c>
      <c r="C3" s="1" t="n">
        <v>3</v>
      </c>
      <c r="E3" s="1" t="s">
        <v>231</v>
      </c>
      <c r="J3" s="1" t="s">
        <v>231</v>
      </c>
      <c r="K3" s="1" t="n">
        <f aca="false">IF(Search!$D$5="",0,IF(AND(OR(Search!$N$5="",ISNUMBER(SEARCH(Search!$N$5,J3))),OR(Search!$N$6="",ISNUMBER(SEARCH(Search!$N$6,J3))),OR(Search!$N$7="",ISNUMBER(SEARCH(Search!$N$7,J3))),OR(Search!$N$8="",ISNUMBER(SEARCH(Search!$N$8,J3)))),1,0))</f>
        <v>0</v>
      </c>
      <c r="L3" s="1" t="n">
        <f aca="false">L2+K3</f>
        <v>0</v>
      </c>
    </row>
    <row r="4" customFormat="false" ht="15" hidden="false" customHeight="true" outlineLevel="0" collapsed="false">
      <c r="A4" s="1" t="s">
        <v>18</v>
      </c>
      <c r="B4" s="1" t="s">
        <v>229</v>
      </c>
      <c r="C4" s="1" t="n">
        <v>5</v>
      </c>
      <c r="E4" s="1" t="s">
        <v>232</v>
      </c>
      <c r="J4" s="1" t="s">
        <v>232</v>
      </c>
      <c r="K4" s="1" t="n">
        <f aca="false">IF(Search!$D$5="",0,IF(AND(OR(Search!$N$5="",ISNUMBER(SEARCH(Search!$N$5,J4))),OR(Search!$N$6="",ISNUMBER(SEARCH(Search!$N$6,J4))),OR(Search!$N$7="",ISNUMBER(SEARCH(Search!$N$7,J4))),OR(Search!$N$8="",ISNUMBER(SEARCH(Search!$N$8,J4)))),1,0))</f>
        <v>0</v>
      </c>
      <c r="L4" s="1" t="n">
        <f aca="false">L3+K4</f>
        <v>0</v>
      </c>
    </row>
    <row r="5" customFormat="false" ht="15" hidden="false" customHeight="true" outlineLevel="0" collapsed="false">
      <c r="A5" s="1" t="s">
        <v>18</v>
      </c>
      <c r="B5" s="1" t="s">
        <v>229</v>
      </c>
      <c r="C5" s="1" t="n">
        <v>6</v>
      </c>
      <c r="E5" s="1" t="s">
        <v>233</v>
      </c>
      <c r="F5" s="1" t="s">
        <v>234</v>
      </c>
      <c r="J5" s="1" t="s">
        <v>235</v>
      </c>
      <c r="K5" s="1" t="n">
        <f aca="false">IF(Search!$D$5="",0,IF(AND(OR(Search!$N$5="",ISNUMBER(SEARCH(Search!$N$5,J5))),OR(Search!$N$6="",ISNUMBER(SEARCH(Search!$N$6,J5))),OR(Search!$N$7="",ISNUMBER(SEARCH(Search!$N$7,J5))),OR(Search!$N$8="",ISNUMBER(SEARCH(Search!$N$8,J5)))),1,0))</f>
        <v>0</v>
      </c>
      <c r="L5" s="1" t="n">
        <f aca="false">L4+K5</f>
        <v>0</v>
      </c>
    </row>
    <row r="6" customFormat="false" ht="15" hidden="false" customHeight="true" outlineLevel="0" collapsed="false">
      <c r="A6" s="1" t="s">
        <v>18</v>
      </c>
      <c r="B6" s="1" t="s">
        <v>229</v>
      </c>
      <c r="C6" s="1" t="n">
        <v>7</v>
      </c>
      <c r="E6" s="1" t="s">
        <v>19</v>
      </c>
      <c r="F6" s="1" t="s">
        <v>236</v>
      </c>
      <c r="J6" s="1" t="s">
        <v>237</v>
      </c>
      <c r="K6" s="1" t="n">
        <f aca="false">IF(Search!$D$5="",0,IF(AND(OR(Search!$N$5="",ISNUMBER(SEARCH(Search!$N$5,J6))),OR(Search!$N$6="",ISNUMBER(SEARCH(Search!$N$6,J6))),OR(Search!$N$7="",ISNUMBER(SEARCH(Search!$N$7,J6))),OR(Search!$N$8="",ISNUMBER(SEARCH(Search!$N$8,J6)))),1,0))</f>
        <v>0</v>
      </c>
      <c r="L6" s="1" t="n">
        <f aca="false">L5+K6</f>
        <v>0</v>
      </c>
    </row>
    <row r="7" customFormat="false" ht="15" hidden="false" customHeight="true" outlineLevel="0" collapsed="false">
      <c r="A7" s="1" t="s">
        <v>18</v>
      </c>
      <c r="B7" s="1" t="s">
        <v>229</v>
      </c>
      <c r="C7" s="1" t="n">
        <v>8</v>
      </c>
      <c r="E7" s="1" t="s">
        <v>20</v>
      </c>
      <c r="F7" s="1" t="s">
        <v>238</v>
      </c>
      <c r="J7" s="1" t="s">
        <v>239</v>
      </c>
      <c r="K7" s="1" t="n">
        <f aca="false">IF(Search!$D$5="",0,IF(AND(OR(Search!$N$5="",ISNUMBER(SEARCH(Search!$N$5,J7))),OR(Search!$N$6="",ISNUMBER(SEARCH(Search!$N$6,J7))),OR(Search!$N$7="",ISNUMBER(SEARCH(Search!$N$7,J7))),OR(Search!$N$8="",ISNUMBER(SEARCH(Search!$N$8,J7)))),1,0))</f>
        <v>0</v>
      </c>
      <c r="L7" s="1" t="n">
        <f aca="false">L6+K7</f>
        <v>0</v>
      </c>
    </row>
    <row r="8" customFormat="false" ht="15" hidden="false" customHeight="true" outlineLevel="0" collapsed="false">
      <c r="A8" s="1" t="s">
        <v>18</v>
      </c>
      <c r="B8" s="1" t="s">
        <v>229</v>
      </c>
      <c r="C8" s="1" t="n">
        <v>9</v>
      </c>
      <c r="E8" s="1" t="s">
        <v>21</v>
      </c>
      <c r="F8" s="1" t="s">
        <v>240</v>
      </c>
      <c r="J8" s="1" t="s">
        <v>241</v>
      </c>
      <c r="K8" s="1" t="n">
        <f aca="false">IF(Search!$D$5="",0,IF(AND(OR(Search!$N$5="",ISNUMBER(SEARCH(Search!$N$5,J8))),OR(Search!$N$6="",ISNUMBER(SEARCH(Search!$N$6,J8))),OR(Search!$N$7="",ISNUMBER(SEARCH(Search!$N$7,J8))),OR(Search!$N$8="",ISNUMBER(SEARCH(Search!$N$8,J8)))),1,0))</f>
        <v>0</v>
      </c>
      <c r="L8" s="1" t="n">
        <f aca="false">L7+K8</f>
        <v>0</v>
      </c>
    </row>
    <row r="9" customFormat="false" ht="15" hidden="false" customHeight="true" outlineLevel="0" collapsed="false">
      <c r="A9" s="1" t="s">
        <v>18</v>
      </c>
      <c r="B9" s="1" t="s">
        <v>229</v>
      </c>
      <c r="C9" s="1" t="n">
        <v>10</v>
      </c>
      <c r="E9" s="1" t="s">
        <v>22</v>
      </c>
      <c r="F9" s="1" t="s">
        <v>242</v>
      </c>
      <c r="J9" s="1" t="s">
        <v>243</v>
      </c>
      <c r="K9" s="1" t="n">
        <f aca="false">IF(Search!$D$5="",0,IF(AND(OR(Search!$N$5="",ISNUMBER(SEARCH(Search!$N$5,J9))),OR(Search!$N$6="",ISNUMBER(SEARCH(Search!$N$6,J9))),OR(Search!$N$7="",ISNUMBER(SEARCH(Search!$N$7,J9))),OR(Search!$N$8="",ISNUMBER(SEARCH(Search!$N$8,J9)))),1,0))</f>
        <v>0</v>
      </c>
      <c r="L9" s="1" t="n">
        <f aca="false">L8+K9</f>
        <v>0</v>
      </c>
    </row>
    <row r="10" customFormat="false" ht="15" hidden="false" customHeight="true" outlineLevel="0" collapsed="false">
      <c r="A10" s="1" t="s">
        <v>18</v>
      </c>
      <c r="B10" s="1" t="s">
        <v>229</v>
      </c>
      <c r="C10" s="1" t="n">
        <v>11</v>
      </c>
      <c r="E10" s="1" t="s">
        <v>23</v>
      </c>
      <c r="F10" s="1" t="s">
        <v>244</v>
      </c>
      <c r="J10" s="1" t="s">
        <v>245</v>
      </c>
      <c r="K10" s="1" t="n">
        <f aca="false">IF(Search!$D$5="",0,IF(AND(OR(Search!$N$5="",ISNUMBER(SEARCH(Search!$N$5,J10))),OR(Search!$N$6="",ISNUMBER(SEARCH(Search!$N$6,J10))),OR(Search!$N$7="",ISNUMBER(SEARCH(Search!$N$7,J10))),OR(Search!$N$8="",ISNUMBER(SEARCH(Search!$N$8,J10)))),1,0))</f>
        <v>0</v>
      </c>
      <c r="L10" s="1" t="n">
        <f aca="false">L9+K10</f>
        <v>0</v>
      </c>
    </row>
    <row r="11" customFormat="false" ht="15" hidden="false" customHeight="true" outlineLevel="0" collapsed="false">
      <c r="A11" s="1" t="s">
        <v>18</v>
      </c>
      <c r="B11" s="1" t="s">
        <v>229</v>
      </c>
      <c r="C11" s="1" t="n">
        <v>12</v>
      </c>
      <c r="E11" s="1" t="s">
        <v>24</v>
      </c>
      <c r="F11" s="1" t="s">
        <v>246</v>
      </c>
      <c r="J11" s="1" t="s">
        <v>247</v>
      </c>
      <c r="K11" s="1" t="n">
        <f aca="false">IF(Search!$D$5="",0,IF(AND(OR(Search!$N$5="",ISNUMBER(SEARCH(Search!$N$5,J11))),OR(Search!$N$6="",ISNUMBER(SEARCH(Search!$N$6,J11))),OR(Search!$N$7="",ISNUMBER(SEARCH(Search!$N$7,J11))),OR(Search!$N$8="",ISNUMBER(SEARCH(Search!$N$8,J11)))),1,0))</f>
        <v>0</v>
      </c>
      <c r="L11" s="1" t="n">
        <f aca="false">L10+K11</f>
        <v>0</v>
      </c>
    </row>
    <row r="12" customFormat="false" ht="15" hidden="false" customHeight="true" outlineLevel="0" collapsed="false">
      <c r="A12" s="1" t="s">
        <v>18</v>
      </c>
      <c r="B12" s="1" t="s">
        <v>229</v>
      </c>
      <c r="C12" s="1" t="n">
        <v>14</v>
      </c>
      <c r="E12" s="1" t="s">
        <v>248</v>
      </c>
      <c r="J12" s="1" t="s">
        <v>248</v>
      </c>
      <c r="K12" s="1" t="n">
        <f aca="false">IF(Search!$D$5="",0,IF(AND(OR(Search!$N$5="",ISNUMBER(SEARCH(Search!$N$5,J12))),OR(Search!$N$6="",ISNUMBER(SEARCH(Search!$N$6,J12))),OR(Search!$N$7="",ISNUMBER(SEARCH(Search!$N$7,J12))),OR(Search!$N$8="",ISNUMBER(SEARCH(Search!$N$8,J12)))),1,0))</f>
        <v>0</v>
      </c>
      <c r="L12" s="1" t="n">
        <f aca="false">L11+K12</f>
        <v>0</v>
      </c>
    </row>
    <row r="13" customFormat="false" ht="15" hidden="false" customHeight="true" outlineLevel="0" collapsed="false">
      <c r="A13" s="1" t="s">
        <v>18</v>
      </c>
      <c r="B13" s="1" t="s">
        <v>229</v>
      </c>
      <c r="C13" s="1" t="n">
        <v>15</v>
      </c>
      <c r="E13" s="1" t="s">
        <v>233</v>
      </c>
      <c r="F13" s="1" t="s">
        <v>234</v>
      </c>
      <c r="J13" s="1" t="s">
        <v>235</v>
      </c>
      <c r="K13" s="1" t="n">
        <f aca="false">IF(Search!$D$5="",0,IF(AND(OR(Search!$N$5="",ISNUMBER(SEARCH(Search!$N$5,J13))),OR(Search!$N$6="",ISNUMBER(SEARCH(Search!$N$6,J13))),OR(Search!$N$7="",ISNUMBER(SEARCH(Search!$N$7,J13))),OR(Search!$N$8="",ISNUMBER(SEARCH(Search!$N$8,J13)))),1,0))</f>
        <v>0</v>
      </c>
      <c r="L13" s="1" t="n">
        <f aca="false">L12+K13</f>
        <v>0</v>
      </c>
    </row>
    <row r="14" customFormat="false" ht="15" hidden="false" customHeight="true" outlineLevel="0" collapsed="false">
      <c r="A14" s="1" t="s">
        <v>18</v>
      </c>
      <c r="B14" s="1" t="s">
        <v>229</v>
      </c>
      <c r="C14" s="1" t="n">
        <v>16</v>
      </c>
      <c r="E14" s="1" t="s">
        <v>25</v>
      </c>
      <c r="F14" s="1" t="s">
        <v>249</v>
      </c>
      <c r="J14" s="1" t="s">
        <v>250</v>
      </c>
      <c r="K14" s="1" t="n">
        <f aca="false">IF(Search!$D$5="",0,IF(AND(OR(Search!$N$5="",ISNUMBER(SEARCH(Search!$N$5,J14))),OR(Search!$N$6="",ISNUMBER(SEARCH(Search!$N$6,J14))),OR(Search!$N$7="",ISNUMBER(SEARCH(Search!$N$7,J14))),OR(Search!$N$8="",ISNUMBER(SEARCH(Search!$N$8,J14)))),1,0))</f>
        <v>0</v>
      </c>
      <c r="L14" s="1" t="n">
        <f aca="false">L13+K14</f>
        <v>0</v>
      </c>
    </row>
    <row r="15" customFormat="false" ht="15" hidden="false" customHeight="true" outlineLevel="0" collapsed="false">
      <c r="A15" s="1" t="s">
        <v>18</v>
      </c>
      <c r="B15" s="1" t="s">
        <v>229</v>
      </c>
      <c r="C15" s="1" t="n">
        <v>17</v>
      </c>
      <c r="E15" s="1" t="s">
        <v>26</v>
      </c>
      <c r="F15" s="1" t="s">
        <v>251</v>
      </c>
      <c r="J15" s="1" t="s">
        <v>252</v>
      </c>
      <c r="K15" s="1" t="n">
        <f aca="false">IF(Search!$D$5="",0,IF(AND(OR(Search!$N$5="",ISNUMBER(SEARCH(Search!$N$5,J15))),OR(Search!$N$6="",ISNUMBER(SEARCH(Search!$N$6,J15))),OR(Search!$N$7="",ISNUMBER(SEARCH(Search!$N$7,J15))),OR(Search!$N$8="",ISNUMBER(SEARCH(Search!$N$8,J15)))),1,0))</f>
        <v>0</v>
      </c>
      <c r="L15" s="1" t="n">
        <f aca="false">L14+K15</f>
        <v>0</v>
      </c>
    </row>
    <row r="16" customFormat="false" ht="15" hidden="false" customHeight="true" outlineLevel="0" collapsed="false">
      <c r="A16" s="1" t="s">
        <v>18</v>
      </c>
      <c r="B16" s="1" t="s">
        <v>229</v>
      </c>
      <c r="C16" s="1" t="n">
        <v>18</v>
      </c>
      <c r="E16" s="1" t="s">
        <v>27</v>
      </c>
      <c r="F16" s="1" t="s">
        <v>253</v>
      </c>
      <c r="J16" s="1" t="s">
        <v>254</v>
      </c>
      <c r="K16" s="1" t="n">
        <f aca="false">IF(Search!$D$5="",0,IF(AND(OR(Search!$N$5="",ISNUMBER(SEARCH(Search!$N$5,J16))),OR(Search!$N$6="",ISNUMBER(SEARCH(Search!$N$6,J16))),OR(Search!$N$7="",ISNUMBER(SEARCH(Search!$N$7,J16))),OR(Search!$N$8="",ISNUMBER(SEARCH(Search!$N$8,J16)))),1,0))</f>
        <v>0</v>
      </c>
      <c r="L16" s="1" t="n">
        <f aca="false">L15+K16</f>
        <v>0</v>
      </c>
    </row>
    <row r="17" customFormat="false" ht="15" hidden="false" customHeight="true" outlineLevel="0" collapsed="false">
      <c r="A17" s="1" t="s">
        <v>18</v>
      </c>
      <c r="B17" s="1" t="s">
        <v>229</v>
      </c>
      <c r="C17" s="1" t="n">
        <v>20</v>
      </c>
      <c r="E17" s="1" t="s">
        <v>255</v>
      </c>
      <c r="J17" s="1" t="s">
        <v>255</v>
      </c>
      <c r="K17" s="1" t="n">
        <f aca="false">IF(Search!$D$5="",0,IF(AND(OR(Search!$N$5="",ISNUMBER(SEARCH(Search!$N$5,J17))),OR(Search!$N$6="",ISNUMBER(SEARCH(Search!$N$6,J17))),OR(Search!$N$7="",ISNUMBER(SEARCH(Search!$N$7,J17))),OR(Search!$N$8="",ISNUMBER(SEARCH(Search!$N$8,J17)))),1,0))</f>
        <v>0</v>
      </c>
      <c r="L17" s="1" t="n">
        <f aca="false">L16+K17</f>
        <v>0</v>
      </c>
    </row>
    <row r="18" customFormat="false" ht="15" hidden="false" customHeight="true" outlineLevel="0" collapsed="false">
      <c r="A18" s="1" t="s">
        <v>18</v>
      </c>
      <c r="B18" s="1" t="s">
        <v>229</v>
      </c>
      <c r="C18" s="1" t="n">
        <v>21</v>
      </c>
      <c r="E18" s="1" t="s">
        <v>233</v>
      </c>
      <c r="F18" s="1" t="s">
        <v>234</v>
      </c>
      <c r="J18" s="1" t="s">
        <v>235</v>
      </c>
      <c r="K18" s="1" t="n">
        <f aca="false">IF(Search!$D$5="",0,IF(AND(OR(Search!$N$5="",ISNUMBER(SEARCH(Search!$N$5,J18))),OR(Search!$N$6="",ISNUMBER(SEARCH(Search!$N$6,J18))),OR(Search!$N$7="",ISNUMBER(SEARCH(Search!$N$7,J18))),OR(Search!$N$8="",ISNUMBER(SEARCH(Search!$N$8,J18)))),1,0))</f>
        <v>0</v>
      </c>
      <c r="L18" s="1" t="n">
        <f aca="false">L17+K18</f>
        <v>0</v>
      </c>
    </row>
    <row r="19" customFormat="false" ht="15" hidden="false" customHeight="true" outlineLevel="0" collapsed="false">
      <c r="A19" s="1" t="s">
        <v>18</v>
      </c>
      <c r="B19" s="1" t="s">
        <v>229</v>
      </c>
      <c r="C19" s="1" t="n">
        <v>22</v>
      </c>
      <c r="E19" s="1" t="s">
        <v>28</v>
      </c>
      <c r="F19" s="1" t="s">
        <v>256</v>
      </c>
      <c r="J19" s="1" t="s">
        <v>257</v>
      </c>
      <c r="K19" s="1" t="n">
        <f aca="false">IF(Search!$D$5="",0,IF(AND(OR(Search!$N$5="",ISNUMBER(SEARCH(Search!$N$5,J19))),OR(Search!$N$6="",ISNUMBER(SEARCH(Search!$N$6,J19))),OR(Search!$N$7="",ISNUMBER(SEARCH(Search!$N$7,J19))),OR(Search!$N$8="",ISNUMBER(SEARCH(Search!$N$8,J19)))),1,0))</f>
        <v>0</v>
      </c>
      <c r="L19" s="1" t="n">
        <f aca="false">L18+K19</f>
        <v>0</v>
      </c>
    </row>
    <row r="20" customFormat="false" ht="15" hidden="false" customHeight="true" outlineLevel="0" collapsed="false">
      <c r="A20" s="1" t="s">
        <v>18</v>
      </c>
      <c r="B20" s="1" t="s">
        <v>229</v>
      </c>
      <c r="C20" s="1" t="n">
        <v>23</v>
      </c>
      <c r="E20" s="1" t="s">
        <v>258</v>
      </c>
      <c r="F20" s="1" t="s">
        <v>259</v>
      </c>
      <c r="J20" s="1" t="s">
        <v>260</v>
      </c>
      <c r="K20" s="1" t="n">
        <f aca="false">IF(Search!$D$5="",0,IF(AND(OR(Search!$N$5="",ISNUMBER(SEARCH(Search!$N$5,J20))),OR(Search!$N$6="",ISNUMBER(SEARCH(Search!$N$6,J20))),OR(Search!$N$7="",ISNUMBER(SEARCH(Search!$N$7,J20))),OR(Search!$N$8="",ISNUMBER(SEARCH(Search!$N$8,J20)))),1,0))</f>
        <v>0</v>
      </c>
      <c r="L20" s="1" t="n">
        <f aca="false">L19+K20</f>
        <v>0</v>
      </c>
    </row>
    <row r="21" customFormat="false" ht="15" hidden="false" customHeight="true" outlineLevel="0" collapsed="false">
      <c r="A21" s="1" t="s">
        <v>18</v>
      </c>
      <c r="B21" s="1" t="s">
        <v>229</v>
      </c>
      <c r="C21" s="1" t="n">
        <v>24</v>
      </c>
      <c r="E21" s="1" t="s">
        <v>261</v>
      </c>
      <c r="F21" s="1" t="s">
        <v>262</v>
      </c>
      <c r="J21" s="1" t="s">
        <v>263</v>
      </c>
      <c r="K21" s="1" t="n">
        <f aca="false">IF(Search!$D$5="",0,IF(AND(OR(Search!$N$5="",ISNUMBER(SEARCH(Search!$N$5,J21))),OR(Search!$N$6="",ISNUMBER(SEARCH(Search!$N$6,J21))),OR(Search!$N$7="",ISNUMBER(SEARCH(Search!$N$7,J21))),OR(Search!$N$8="",ISNUMBER(SEARCH(Search!$N$8,J21)))),1,0))</f>
        <v>0</v>
      </c>
      <c r="L21" s="1" t="n">
        <f aca="false">L20+K21</f>
        <v>0</v>
      </c>
    </row>
    <row r="22" customFormat="false" ht="15" hidden="false" customHeight="true" outlineLevel="0" collapsed="false">
      <c r="A22" s="1" t="s">
        <v>18</v>
      </c>
      <c r="B22" s="1" t="s">
        <v>229</v>
      </c>
      <c r="C22" s="1" t="n">
        <v>25</v>
      </c>
      <c r="E22" s="1" t="s">
        <v>264</v>
      </c>
      <c r="F22" s="1" t="s">
        <v>265</v>
      </c>
      <c r="J22" s="1" t="s">
        <v>266</v>
      </c>
      <c r="K22" s="1" t="n">
        <f aca="false">IF(Search!$D$5="",0,IF(AND(OR(Search!$N$5="",ISNUMBER(SEARCH(Search!$N$5,J22))),OR(Search!$N$6="",ISNUMBER(SEARCH(Search!$N$6,J22))),OR(Search!$N$7="",ISNUMBER(SEARCH(Search!$N$7,J22))),OR(Search!$N$8="",ISNUMBER(SEARCH(Search!$N$8,J22)))),1,0))</f>
        <v>0</v>
      </c>
      <c r="L22" s="1" t="n">
        <f aca="false">L21+K22</f>
        <v>0</v>
      </c>
    </row>
    <row r="23" customFormat="false" ht="15" hidden="false" customHeight="true" outlineLevel="0" collapsed="false">
      <c r="A23" s="1" t="s">
        <v>18</v>
      </c>
      <c r="B23" s="1" t="s">
        <v>229</v>
      </c>
      <c r="C23" s="1" t="n">
        <v>26</v>
      </c>
      <c r="E23" s="1" t="s">
        <v>267</v>
      </c>
      <c r="F23" s="1" t="s">
        <v>268</v>
      </c>
      <c r="J23" s="1" t="s">
        <v>269</v>
      </c>
      <c r="K23" s="1" t="n">
        <f aca="false">IF(Search!$D$5="",0,IF(AND(OR(Search!$N$5="",ISNUMBER(SEARCH(Search!$N$5,J23))),OR(Search!$N$6="",ISNUMBER(SEARCH(Search!$N$6,J23))),OR(Search!$N$7="",ISNUMBER(SEARCH(Search!$N$7,J23))),OR(Search!$N$8="",ISNUMBER(SEARCH(Search!$N$8,J23)))),1,0))</f>
        <v>0</v>
      </c>
      <c r="L23" s="1" t="n">
        <f aca="false">L22+K23</f>
        <v>0</v>
      </c>
    </row>
    <row r="24" customFormat="false" ht="15" hidden="false" customHeight="true" outlineLevel="0" collapsed="false">
      <c r="A24" s="1" t="s">
        <v>18</v>
      </c>
      <c r="B24" s="1" t="s">
        <v>229</v>
      </c>
      <c r="C24" s="1" t="n">
        <v>28</v>
      </c>
      <c r="E24" s="1" t="s">
        <v>270</v>
      </c>
      <c r="J24" s="1" t="s">
        <v>270</v>
      </c>
      <c r="K24" s="1" t="n">
        <f aca="false">IF(Search!$D$5="",0,IF(AND(OR(Search!$N$5="",ISNUMBER(SEARCH(Search!$N$5,J24))),OR(Search!$N$6="",ISNUMBER(SEARCH(Search!$N$6,J24))),OR(Search!$N$7="",ISNUMBER(SEARCH(Search!$N$7,J24))),OR(Search!$N$8="",ISNUMBER(SEARCH(Search!$N$8,J24)))),1,0))</f>
        <v>0</v>
      </c>
      <c r="L24" s="1" t="n">
        <f aca="false">L23+K24</f>
        <v>0</v>
      </c>
    </row>
    <row r="25" customFormat="false" ht="15" hidden="false" customHeight="true" outlineLevel="0" collapsed="false">
      <c r="A25" s="1" t="s">
        <v>18</v>
      </c>
      <c r="B25" s="1" t="s">
        <v>229</v>
      </c>
      <c r="C25" s="1" t="n">
        <v>29</v>
      </c>
      <c r="E25" s="1" t="s">
        <v>233</v>
      </c>
      <c r="F25" s="1" t="s">
        <v>234</v>
      </c>
      <c r="J25" s="1" t="s">
        <v>235</v>
      </c>
      <c r="K25" s="1" t="n">
        <f aca="false">IF(Search!$D$5="",0,IF(AND(OR(Search!$N$5="",ISNUMBER(SEARCH(Search!$N$5,J25))),OR(Search!$N$6="",ISNUMBER(SEARCH(Search!$N$6,J25))),OR(Search!$N$7="",ISNUMBER(SEARCH(Search!$N$7,J25))),OR(Search!$N$8="",ISNUMBER(SEARCH(Search!$N$8,J25)))),1,0))</f>
        <v>0</v>
      </c>
      <c r="L25" s="1" t="n">
        <f aca="false">L24+K25</f>
        <v>0</v>
      </c>
    </row>
    <row r="26" customFormat="false" ht="15" hidden="false" customHeight="true" outlineLevel="0" collapsed="false">
      <c r="A26" s="1" t="s">
        <v>18</v>
      </c>
      <c r="B26" s="1" t="s">
        <v>229</v>
      </c>
      <c r="C26" s="1" t="n">
        <v>30</v>
      </c>
      <c r="E26" s="1" t="s">
        <v>29</v>
      </c>
      <c r="F26" s="1" t="s">
        <v>271</v>
      </c>
      <c r="J26" s="1" t="s">
        <v>272</v>
      </c>
      <c r="K26" s="1" t="n">
        <f aca="false">IF(Search!$D$5="",0,IF(AND(OR(Search!$N$5="",ISNUMBER(SEARCH(Search!$N$5,J26))),OR(Search!$N$6="",ISNUMBER(SEARCH(Search!$N$6,J26))),OR(Search!$N$7="",ISNUMBER(SEARCH(Search!$N$7,J26))),OR(Search!$N$8="",ISNUMBER(SEARCH(Search!$N$8,J26)))),1,0))</f>
        <v>0</v>
      </c>
      <c r="L26" s="1" t="n">
        <f aca="false">L25+K26</f>
        <v>0</v>
      </c>
    </row>
    <row r="27" customFormat="false" ht="15" hidden="false" customHeight="true" outlineLevel="0" collapsed="false">
      <c r="A27" s="1" t="s">
        <v>18</v>
      </c>
      <c r="B27" s="1" t="s">
        <v>229</v>
      </c>
      <c r="C27" s="1" t="n">
        <v>31</v>
      </c>
      <c r="E27" s="1" t="s">
        <v>273</v>
      </c>
      <c r="F27" s="1" t="s">
        <v>274</v>
      </c>
      <c r="J27" s="1" t="s">
        <v>275</v>
      </c>
      <c r="K27" s="1" t="n">
        <f aca="false">IF(Search!$D$5="",0,IF(AND(OR(Search!$N$5="",ISNUMBER(SEARCH(Search!$N$5,J27))),OR(Search!$N$6="",ISNUMBER(SEARCH(Search!$N$6,J27))),OR(Search!$N$7="",ISNUMBER(SEARCH(Search!$N$7,J27))),OR(Search!$N$8="",ISNUMBER(SEARCH(Search!$N$8,J27)))),1,0))</f>
        <v>0</v>
      </c>
      <c r="L27" s="1" t="n">
        <f aca="false">L26+K27</f>
        <v>0</v>
      </c>
    </row>
    <row r="28" customFormat="false" ht="15" hidden="false" customHeight="true" outlineLevel="0" collapsed="false">
      <c r="A28" s="1" t="s">
        <v>18</v>
      </c>
      <c r="B28" s="1" t="s">
        <v>229</v>
      </c>
      <c r="C28" s="1" t="n">
        <v>32</v>
      </c>
      <c r="E28" s="1" t="s">
        <v>276</v>
      </c>
      <c r="F28" s="1" t="s">
        <v>277</v>
      </c>
      <c r="J28" s="1" t="s">
        <v>278</v>
      </c>
      <c r="K28" s="1" t="n">
        <f aca="false">IF(Search!$D$5="",0,IF(AND(OR(Search!$N$5="",ISNUMBER(SEARCH(Search!$N$5,J28))),OR(Search!$N$6="",ISNUMBER(SEARCH(Search!$N$6,J28))),OR(Search!$N$7="",ISNUMBER(SEARCH(Search!$N$7,J28))),OR(Search!$N$8="",ISNUMBER(SEARCH(Search!$N$8,J28)))),1,0))</f>
        <v>0</v>
      </c>
      <c r="L28" s="1" t="n">
        <f aca="false">L27+K28</f>
        <v>0</v>
      </c>
    </row>
    <row r="29" customFormat="false" ht="15" hidden="false" customHeight="true" outlineLevel="0" collapsed="false">
      <c r="A29" s="1" t="s">
        <v>18</v>
      </c>
      <c r="B29" s="1" t="s">
        <v>229</v>
      </c>
      <c r="C29" s="1" t="n">
        <v>33</v>
      </c>
      <c r="E29" s="1" t="s">
        <v>279</v>
      </c>
      <c r="F29" s="1" t="s">
        <v>280</v>
      </c>
      <c r="J29" s="1" t="s">
        <v>281</v>
      </c>
      <c r="K29" s="1" t="n">
        <f aca="false">IF(Search!$D$5="",0,IF(AND(OR(Search!$N$5="",ISNUMBER(SEARCH(Search!$N$5,J29))),OR(Search!$N$6="",ISNUMBER(SEARCH(Search!$N$6,J29))),OR(Search!$N$7="",ISNUMBER(SEARCH(Search!$N$7,J29))),OR(Search!$N$8="",ISNUMBER(SEARCH(Search!$N$8,J29)))),1,0))</f>
        <v>0</v>
      </c>
      <c r="L29" s="1" t="n">
        <f aca="false">L28+K29</f>
        <v>0</v>
      </c>
    </row>
    <row r="30" customFormat="false" ht="15" hidden="false" customHeight="true" outlineLevel="0" collapsed="false">
      <c r="A30" s="1" t="s">
        <v>18</v>
      </c>
      <c r="B30" s="1" t="s">
        <v>229</v>
      </c>
      <c r="C30" s="1" t="n">
        <v>34</v>
      </c>
      <c r="E30" s="1" t="s">
        <v>282</v>
      </c>
      <c r="F30" s="1" t="s">
        <v>283</v>
      </c>
      <c r="J30" s="1" t="s">
        <v>284</v>
      </c>
      <c r="K30" s="1" t="n">
        <f aca="false">IF(Search!$D$5="",0,IF(AND(OR(Search!$N$5="",ISNUMBER(SEARCH(Search!$N$5,J30))),OR(Search!$N$6="",ISNUMBER(SEARCH(Search!$N$6,J30))),OR(Search!$N$7="",ISNUMBER(SEARCH(Search!$N$7,J30))),OR(Search!$N$8="",ISNUMBER(SEARCH(Search!$N$8,J30)))),1,0))</f>
        <v>0</v>
      </c>
      <c r="L30" s="1" t="n">
        <f aca="false">L29+K30</f>
        <v>0</v>
      </c>
    </row>
    <row r="31" customFormat="false" ht="15" hidden="false" customHeight="true" outlineLevel="0" collapsed="false">
      <c r="A31" s="1" t="s">
        <v>18</v>
      </c>
      <c r="B31" s="1" t="s">
        <v>229</v>
      </c>
      <c r="C31" s="1" t="n">
        <v>35</v>
      </c>
      <c r="E31" s="1" t="s">
        <v>285</v>
      </c>
      <c r="F31" s="1" t="s">
        <v>286</v>
      </c>
      <c r="J31" s="1" t="s">
        <v>287</v>
      </c>
      <c r="K31" s="1" t="n">
        <f aca="false">IF(Search!$D$5="",0,IF(AND(OR(Search!$N$5="",ISNUMBER(SEARCH(Search!$N$5,J31))),OR(Search!$N$6="",ISNUMBER(SEARCH(Search!$N$6,J31))),OR(Search!$N$7="",ISNUMBER(SEARCH(Search!$N$7,J31))),OR(Search!$N$8="",ISNUMBER(SEARCH(Search!$N$8,J31)))),1,0))</f>
        <v>0</v>
      </c>
      <c r="L31" s="1" t="n">
        <f aca="false">L30+K31</f>
        <v>0</v>
      </c>
    </row>
    <row r="32" customFormat="false" ht="15" hidden="false" customHeight="true" outlineLevel="0" collapsed="false">
      <c r="A32" s="1" t="s">
        <v>18</v>
      </c>
      <c r="B32" s="1" t="s">
        <v>229</v>
      </c>
      <c r="C32" s="1" t="n">
        <v>36</v>
      </c>
      <c r="E32" s="1" t="s">
        <v>288</v>
      </c>
      <c r="F32" s="1" t="s">
        <v>289</v>
      </c>
      <c r="J32" s="1" t="s">
        <v>290</v>
      </c>
      <c r="K32" s="1" t="n">
        <f aca="false">IF(Search!$D$5="",0,IF(AND(OR(Search!$N$5="",ISNUMBER(SEARCH(Search!$N$5,J32))),OR(Search!$N$6="",ISNUMBER(SEARCH(Search!$N$6,J32))),OR(Search!$N$7="",ISNUMBER(SEARCH(Search!$N$7,J32))),OR(Search!$N$8="",ISNUMBER(SEARCH(Search!$N$8,J32)))),1,0))</f>
        <v>0</v>
      </c>
      <c r="L32" s="1" t="n">
        <f aca="false">L31+K32</f>
        <v>0</v>
      </c>
    </row>
    <row r="33" customFormat="false" ht="15" hidden="false" customHeight="true" outlineLevel="0" collapsed="false">
      <c r="A33" s="1" t="s">
        <v>18</v>
      </c>
      <c r="B33" s="1" t="s">
        <v>229</v>
      </c>
      <c r="C33" s="1" t="n">
        <v>37</v>
      </c>
      <c r="E33" s="1" t="s">
        <v>291</v>
      </c>
      <c r="F33" s="1" t="s">
        <v>292</v>
      </c>
      <c r="J33" s="1" t="s">
        <v>293</v>
      </c>
      <c r="K33" s="1" t="n">
        <f aca="false">IF(Search!$D$5="",0,IF(AND(OR(Search!$N$5="",ISNUMBER(SEARCH(Search!$N$5,J33))),OR(Search!$N$6="",ISNUMBER(SEARCH(Search!$N$6,J33))),OR(Search!$N$7="",ISNUMBER(SEARCH(Search!$N$7,J33))),OR(Search!$N$8="",ISNUMBER(SEARCH(Search!$N$8,J33)))),1,0))</f>
        <v>0</v>
      </c>
      <c r="L33" s="1" t="n">
        <f aca="false">L32+K33</f>
        <v>0</v>
      </c>
    </row>
    <row r="34" customFormat="false" ht="15" hidden="false" customHeight="true" outlineLevel="0" collapsed="false">
      <c r="A34" s="1" t="s">
        <v>18</v>
      </c>
      <c r="B34" s="1" t="s">
        <v>229</v>
      </c>
      <c r="C34" s="1" t="n">
        <v>38</v>
      </c>
      <c r="E34" s="1" t="s">
        <v>294</v>
      </c>
      <c r="F34" s="1" t="s">
        <v>295</v>
      </c>
      <c r="J34" s="1" t="s">
        <v>296</v>
      </c>
      <c r="K34" s="1" t="n">
        <f aca="false">IF(Search!$D$5="",0,IF(AND(OR(Search!$N$5="",ISNUMBER(SEARCH(Search!$N$5,J34))),OR(Search!$N$6="",ISNUMBER(SEARCH(Search!$N$6,J34))),OR(Search!$N$7="",ISNUMBER(SEARCH(Search!$N$7,J34))),OR(Search!$N$8="",ISNUMBER(SEARCH(Search!$N$8,J34)))),1,0))</f>
        <v>0</v>
      </c>
      <c r="L34" s="1" t="n">
        <f aca="false">L33+K34</f>
        <v>0</v>
      </c>
    </row>
    <row r="35" customFormat="false" ht="15" hidden="false" customHeight="true" outlineLevel="0" collapsed="false">
      <c r="A35" s="1" t="s">
        <v>18</v>
      </c>
      <c r="B35" s="1" t="s">
        <v>229</v>
      </c>
      <c r="C35" s="1" t="n">
        <v>39</v>
      </c>
      <c r="E35" s="1" t="s">
        <v>297</v>
      </c>
      <c r="F35" s="1" t="s">
        <v>298</v>
      </c>
      <c r="J35" s="1" t="s">
        <v>299</v>
      </c>
      <c r="K35" s="1" t="n">
        <f aca="false">IF(Search!$D$5="",0,IF(AND(OR(Search!$N$5="",ISNUMBER(SEARCH(Search!$N$5,J35))),OR(Search!$N$6="",ISNUMBER(SEARCH(Search!$N$6,J35))),OR(Search!$N$7="",ISNUMBER(SEARCH(Search!$N$7,J35))),OR(Search!$N$8="",ISNUMBER(SEARCH(Search!$N$8,J35)))),1,0))</f>
        <v>0</v>
      </c>
      <c r="L35" s="1" t="n">
        <f aca="false">L34+K35</f>
        <v>0</v>
      </c>
    </row>
    <row r="36" customFormat="false" ht="15" hidden="false" customHeight="true" outlineLevel="0" collapsed="false">
      <c r="A36" s="1" t="s">
        <v>18</v>
      </c>
      <c r="B36" s="1" t="s">
        <v>229</v>
      </c>
      <c r="C36" s="1" t="n">
        <v>40</v>
      </c>
      <c r="E36" s="1" t="s">
        <v>300</v>
      </c>
      <c r="F36" s="1" t="s">
        <v>301</v>
      </c>
      <c r="J36" s="1" t="s">
        <v>302</v>
      </c>
      <c r="K36" s="1" t="n">
        <f aca="false">IF(Search!$D$5="",0,IF(AND(OR(Search!$N$5="",ISNUMBER(SEARCH(Search!$N$5,J36))),OR(Search!$N$6="",ISNUMBER(SEARCH(Search!$N$6,J36))),OR(Search!$N$7="",ISNUMBER(SEARCH(Search!$N$7,J36))),OR(Search!$N$8="",ISNUMBER(SEARCH(Search!$N$8,J36)))),1,0))</f>
        <v>0</v>
      </c>
      <c r="L36" s="1" t="n">
        <f aca="false">L35+K36</f>
        <v>0</v>
      </c>
    </row>
    <row r="37" customFormat="false" ht="15" hidden="false" customHeight="true" outlineLevel="0" collapsed="false">
      <c r="A37" s="1" t="s">
        <v>18</v>
      </c>
      <c r="B37" s="1" t="s">
        <v>229</v>
      </c>
      <c r="C37" s="1" t="n">
        <v>41</v>
      </c>
      <c r="E37" s="1" t="s">
        <v>303</v>
      </c>
      <c r="F37" s="1" t="s">
        <v>304</v>
      </c>
      <c r="J37" s="1" t="s">
        <v>305</v>
      </c>
      <c r="K37" s="1" t="n">
        <f aca="false">IF(Search!$D$5="",0,IF(AND(OR(Search!$N$5="",ISNUMBER(SEARCH(Search!$N$5,J37))),OR(Search!$N$6="",ISNUMBER(SEARCH(Search!$N$6,J37))),OR(Search!$N$7="",ISNUMBER(SEARCH(Search!$N$7,J37))),OR(Search!$N$8="",ISNUMBER(SEARCH(Search!$N$8,J37)))),1,0))</f>
        <v>0</v>
      </c>
      <c r="L37" s="1" t="n">
        <f aca="false">L36+K37</f>
        <v>0</v>
      </c>
    </row>
    <row r="38" customFormat="false" ht="15" hidden="false" customHeight="true" outlineLevel="0" collapsed="false">
      <c r="A38" s="1" t="s">
        <v>18</v>
      </c>
      <c r="B38" s="1" t="s">
        <v>229</v>
      </c>
      <c r="C38" s="1" t="n">
        <v>42</v>
      </c>
      <c r="E38" s="1" t="s">
        <v>306</v>
      </c>
      <c r="F38" s="1" t="s">
        <v>307</v>
      </c>
      <c r="J38" s="1" t="s">
        <v>308</v>
      </c>
      <c r="K38" s="1" t="n">
        <f aca="false">IF(Search!$D$5="",0,IF(AND(OR(Search!$N$5="",ISNUMBER(SEARCH(Search!$N$5,J38))),OR(Search!$N$6="",ISNUMBER(SEARCH(Search!$N$6,J38))),OR(Search!$N$7="",ISNUMBER(SEARCH(Search!$N$7,J38))),OR(Search!$N$8="",ISNUMBER(SEARCH(Search!$N$8,J38)))),1,0))</f>
        <v>0</v>
      </c>
      <c r="L38" s="1" t="n">
        <f aca="false">L37+K38</f>
        <v>0</v>
      </c>
    </row>
    <row r="39" customFormat="false" ht="15" hidden="false" customHeight="true" outlineLevel="0" collapsed="false">
      <c r="A39" s="1" t="s">
        <v>18</v>
      </c>
      <c r="B39" s="1" t="s">
        <v>229</v>
      </c>
      <c r="C39" s="1" t="n">
        <v>43</v>
      </c>
      <c r="E39" s="1" t="s">
        <v>309</v>
      </c>
      <c r="F39" s="1" t="s">
        <v>310</v>
      </c>
      <c r="J39" s="1" t="s">
        <v>311</v>
      </c>
      <c r="K39" s="1" t="n">
        <f aca="false">IF(Search!$D$5="",0,IF(AND(OR(Search!$N$5="",ISNUMBER(SEARCH(Search!$N$5,J39))),OR(Search!$N$6="",ISNUMBER(SEARCH(Search!$N$6,J39))),OR(Search!$N$7="",ISNUMBER(SEARCH(Search!$N$7,J39))),OR(Search!$N$8="",ISNUMBER(SEARCH(Search!$N$8,J39)))),1,0))</f>
        <v>0</v>
      </c>
      <c r="L39" s="1" t="n">
        <f aca="false">L38+K39</f>
        <v>0</v>
      </c>
    </row>
    <row r="40" customFormat="false" ht="15" hidden="false" customHeight="true" outlineLevel="0" collapsed="false">
      <c r="A40" s="1" t="s">
        <v>18</v>
      </c>
      <c r="B40" s="1" t="s">
        <v>229</v>
      </c>
      <c r="C40" s="1" t="n">
        <v>44</v>
      </c>
      <c r="E40" s="1" t="s">
        <v>312</v>
      </c>
      <c r="F40" s="1" t="s">
        <v>313</v>
      </c>
      <c r="J40" s="1" t="s">
        <v>314</v>
      </c>
      <c r="K40" s="1" t="n">
        <f aca="false">IF(Search!$D$5="",0,IF(AND(OR(Search!$N$5="",ISNUMBER(SEARCH(Search!$N$5,J40))),OR(Search!$N$6="",ISNUMBER(SEARCH(Search!$N$6,J40))),OR(Search!$N$7="",ISNUMBER(SEARCH(Search!$N$7,J40))),OR(Search!$N$8="",ISNUMBER(SEARCH(Search!$N$8,J40)))),1,0))</f>
        <v>0</v>
      </c>
      <c r="L40" s="1" t="n">
        <f aca="false">L39+K40</f>
        <v>0</v>
      </c>
    </row>
    <row r="41" customFormat="false" ht="15" hidden="false" customHeight="true" outlineLevel="0" collapsed="false">
      <c r="A41" s="1" t="s">
        <v>18</v>
      </c>
      <c r="B41" s="1" t="s">
        <v>229</v>
      </c>
      <c r="C41" s="1" t="n">
        <v>45</v>
      </c>
      <c r="E41" s="1" t="s">
        <v>315</v>
      </c>
      <c r="F41" s="1" t="s">
        <v>316</v>
      </c>
      <c r="J41" s="1" t="s">
        <v>317</v>
      </c>
      <c r="K41" s="1" t="n">
        <f aca="false">IF(Search!$D$5="",0,IF(AND(OR(Search!$N$5="",ISNUMBER(SEARCH(Search!$N$5,J41))),OR(Search!$N$6="",ISNUMBER(SEARCH(Search!$N$6,J41))),OR(Search!$N$7="",ISNUMBER(SEARCH(Search!$N$7,J41))),OR(Search!$N$8="",ISNUMBER(SEARCH(Search!$N$8,J41)))),1,0))</f>
        <v>0</v>
      </c>
      <c r="L41" s="1" t="n">
        <f aca="false">L40+K41</f>
        <v>0</v>
      </c>
    </row>
    <row r="42" customFormat="false" ht="15" hidden="false" customHeight="true" outlineLevel="0" collapsed="false">
      <c r="A42" s="1" t="s">
        <v>18</v>
      </c>
      <c r="B42" s="1" t="s">
        <v>229</v>
      </c>
      <c r="C42" s="1" t="n">
        <v>47</v>
      </c>
      <c r="E42" s="1" t="s">
        <v>318</v>
      </c>
      <c r="J42" s="1" t="s">
        <v>318</v>
      </c>
      <c r="K42" s="1" t="n">
        <f aca="false">IF(Search!$D$5="",0,IF(AND(OR(Search!$N$5="",ISNUMBER(SEARCH(Search!$N$5,J42))),OR(Search!$N$6="",ISNUMBER(SEARCH(Search!$N$6,J42))),OR(Search!$N$7="",ISNUMBER(SEARCH(Search!$N$7,J42))),OR(Search!$N$8="",ISNUMBER(SEARCH(Search!$N$8,J42)))),1,0))</f>
        <v>0</v>
      </c>
      <c r="L42" s="1" t="n">
        <f aca="false">L41+K42</f>
        <v>0</v>
      </c>
    </row>
    <row r="43" customFormat="false" ht="15" hidden="false" customHeight="true" outlineLevel="0" collapsed="false">
      <c r="A43" s="1" t="s">
        <v>18</v>
      </c>
      <c r="B43" s="1" t="s">
        <v>229</v>
      </c>
      <c r="C43" s="1" t="n">
        <v>48</v>
      </c>
      <c r="E43" s="1" t="s">
        <v>233</v>
      </c>
      <c r="F43" s="1" t="s">
        <v>234</v>
      </c>
      <c r="J43" s="1" t="s">
        <v>235</v>
      </c>
      <c r="K43" s="1" t="n">
        <f aca="false">IF(Search!$D$5="",0,IF(AND(OR(Search!$N$5="",ISNUMBER(SEARCH(Search!$N$5,J43))),OR(Search!$N$6="",ISNUMBER(SEARCH(Search!$N$6,J43))),OR(Search!$N$7="",ISNUMBER(SEARCH(Search!$N$7,J43))),OR(Search!$N$8="",ISNUMBER(SEARCH(Search!$N$8,J43)))),1,0))</f>
        <v>0</v>
      </c>
      <c r="L43" s="1" t="n">
        <f aca="false">L42+K43</f>
        <v>0</v>
      </c>
    </row>
    <row r="44" customFormat="false" ht="15" hidden="false" customHeight="true" outlineLevel="0" collapsed="false">
      <c r="A44" s="1" t="s">
        <v>18</v>
      </c>
      <c r="B44" s="1" t="s">
        <v>229</v>
      </c>
      <c r="C44" s="1" t="n">
        <v>49</v>
      </c>
      <c r="E44" s="1" t="s">
        <v>31</v>
      </c>
      <c r="F44" s="1" t="s">
        <v>319</v>
      </c>
      <c r="J44" s="1" t="s">
        <v>320</v>
      </c>
      <c r="K44" s="1" t="n">
        <f aca="false">IF(Search!$D$5="",0,IF(AND(OR(Search!$N$5="",ISNUMBER(SEARCH(Search!$N$5,J44))),OR(Search!$N$6="",ISNUMBER(SEARCH(Search!$N$6,J44))),OR(Search!$N$7="",ISNUMBER(SEARCH(Search!$N$7,J44))),OR(Search!$N$8="",ISNUMBER(SEARCH(Search!$N$8,J44)))),1,0))</f>
        <v>0</v>
      </c>
      <c r="L44" s="1" t="n">
        <f aca="false">L43+K44</f>
        <v>0</v>
      </c>
    </row>
    <row r="45" customFormat="false" ht="15" hidden="false" customHeight="true" outlineLevel="0" collapsed="false">
      <c r="A45" s="1" t="s">
        <v>18</v>
      </c>
      <c r="B45" s="1" t="s">
        <v>229</v>
      </c>
      <c r="C45" s="1" t="n">
        <v>50</v>
      </c>
      <c r="E45" s="1" t="s">
        <v>32</v>
      </c>
      <c r="F45" s="1" t="s">
        <v>321</v>
      </c>
      <c r="J45" s="1" t="s">
        <v>322</v>
      </c>
      <c r="K45" s="1" t="n">
        <f aca="false">IF(Search!$D$5="",0,IF(AND(OR(Search!$N$5="",ISNUMBER(SEARCH(Search!$N$5,J45))),OR(Search!$N$6="",ISNUMBER(SEARCH(Search!$N$6,J45))),OR(Search!$N$7="",ISNUMBER(SEARCH(Search!$N$7,J45))),OR(Search!$N$8="",ISNUMBER(SEARCH(Search!$N$8,J45)))),1,0))</f>
        <v>0</v>
      </c>
      <c r="L45" s="1" t="n">
        <f aca="false">L44+K45</f>
        <v>0</v>
      </c>
    </row>
    <row r="46" customFormat="false" ht="15" hidden="false" customHeight="true" outlineLevel="0" collapsed="false">
      <c r="A46" s="1" t="s">
        <v>18</v>
      </c>
      <c r="B46" s="1" t="s">
        <v>229</v>
      </c>
      <c r="C46" s="1" t="n">
        <v>51</v>
      </c>
      <c r="E46" s="1" t="s">
        <v>33</v>
      </c>
      <c r="F46" s="1" t="s">
        <v>323</v>
      </c>
      <c r="J46" s="1" t="s">
        <v>324</v>
      </c>
      <c r="K46" s="1" t="n">
        <f aca="false">IF(Search!$D$5="",0,IF(AND(OR(Search!$N$5="",ISNUMBER(SEARCH(Search!$N$5,J46))),OR(Search!$N$6="",ISNUMBER(SEARCH(Search!$N$6,J46))),OR(Search!$N$7="",ISNUMBER(SEARCH(Search!$N$7,J46))),OR(Search!$N$8="",ISNUMBER(SEARCH(Search!$N$8,J46)))),1,0))</f>
        <v>0</v>
      </c>
      <c r="L46" s="1" t="n">
        <f aca="false">L45+K46</f>
        <v>0</v>
      </c>
    </row>
    <row r="47" customFormat="false" ht="15" hidden="false" customHeight="true" outlineLevel="0" collapsed="false">
      <c r="A47" s="1" t="s">
        <v>18</v>
      </c>
      <c r="B47" s="1" t="s">
        <v>229</v>
      </c>
      <c r="C47" s="1" t="n">
        <v>52</v>
      </c>
      <c r="E47" s="1" t="s">
        <v>325</v>
      </c>
      <c r="F47" s="1" t="s">
        <v>326</v>
      </c>
      <c r="J47" s="1" t="s">
        <v>327</v>
      </c>
      <c r="K47" s="1" t="n">
        <f aca="false">IF(Search!$D$5="",0,IF(AND(OR(Search!$N$5="",ISNUMBER(SEARCH(Search!$N$5,J47))),OR(Search!$N$6="",ISNUMBER(SEARCH(Search!$N$6,J47))),OR(Search!$N$7="",ISNUMBER(SEARCH(Search!$N$7,J47))),OR(Search!$N$8="",ISNUMBER(SEARCH(Search!$N$8,J47)))),1,0))</f>
        <v>0</v>
      </c>
      <c r="L47" s="1" t="n">
        <f aca="false">L46+K47</f>
        <v>0</v>
      </c>
    </row>
    <row r="48" customFormat="false" ht="15" hidden="false" customHeight="true" outlineLevel="0" collapsed="false">
      <c r="A48" s="1" t="s">
        <v>18</v>
      </c>
      <c r="B48" s="1" t="s">
        <v>229</v>
      </c>
      <c r="C48" s="1" t="n">
        <v>53</v>
      </c>
      <c r="E48" s="1" t="s">
        <v>328</v>
      </c>
      <c r="F48" s="1" t="s">
        <v>329</v>
      </c>
      <c r="J48" s="1" t="s">
        <v>330</v>
      </c>
      <c r="K48" s="1" t="n">
        <f aca="false">IF(Search!$D$5="",0,IF(AND(OR(Search!$N$5="",ISNUMBER(SEARCH(Search!$N$5,J48))),OR(Search!$N$6="",ISNUMBER(SEARCH(Search!$N$6,J48))),OR(Search!$N$7="",ISNUMBER(SEARCH(Search!$N$7,J48))),OR(Search!$N$8="",ISNUMBER(SEARCH(Search!$N$8,J48)))),1,0))</f>
        <v>0</v>
      </c>
      <c r="L48" s="1" t="n">
        <f aca="false">L47+K48</f>
        <v>0</v>
      </c>
    </row>
    <row r="49" customFormat="false" ht="15" hidden="false" customHeight="true" outlineLevel="0" collapsed="false">
      <c r="A49" s="1" t="s">
        <v>18</v>
      </c>
      <c r="B49" s="1" t="s">
        <v>229</v>
      </c>
      <c r="C49" s="1" t="n">
        <v>54</v>
      </c>
      <c r="E49" s="1" t="s">
        <v>331</v>
      </c>
      <c r="F49" s="1" t="s">
        <v>332</v>
      </c>
      <c r="J49" s="1" t="s">
        <v>333</v>
      </c>
      <c r="K49" s="1" t="n">
        <f aca="false">IF(Search!$D$5="",0,IF(AND(OR(Search!$N$5="",ISNUMBER(SEARCH(Search!$N$5,J49))),OR(Search!$N$6="",ISNUMBER(SEARCH(Search!$N$6,J49))),OR(Search!$N$7="",ISNUMBER(SEARCH(Search!$N$7,J49))),OR(Search!$N$8="",ISNUMBER(SEARCH(Search!$N$8,J49)))),1,0))</f>
        <v>0</v>
      </c>
      <c r="L49" s="1" t="n">
        <f aca="false">L48+K49</f>
        <v>0</v>
      </c>
    </row>
    <row r="50" customFormat="false" ht="15" hidden="false" customHeight="true" outlineLevel="0" collapsed="false">
      <c r="A50" s="1" t="s">
        <v>18</v>
      </c>
      <c r="B50" s="1" t="s">
        <v>229</v>
      </c>
      <c r="C50" s="1" t="n">
        <v>55</v>
      </c>
      <c r="E50" s="1" t="s">
        <v>334</v>
      </c>
      <c r="F50" s="1" t="s">
        <v>335</v>
      </c>
      <c r="J50" s="1" t="s">
        <v>336</v>
      </c>
      <c r="K50" s="1" t="n">
        <f aca="false">IF(Search!$D$5="",0,IF(AND(OR(Search!$N$5="",ISNUMBER(SEARCH(Search!$N$5,J50))),OR(Search!$N$6="",ISNUMBER(SEARCH(Search!$N$6,J50))),OR(Search!$N$7="",ISNUMBER(SEARCH(Search!$N$7,J50))),OR(Search!$N$8="",ISNUMBER(SEARCH(Search!$N$8,J50)))),1,0))</f>
        <v>0</v>
      </c>
      <c r="L50" s="1" t="n">
        <f aca="false">L49+K50</f>
        <v>0</v>
      </c>
    </row>
    <row r="51" customFormat="false" ht="15" hidden="false" customHeight="true" outlineLevel="0" collapsed="false">
      <c r="A51" s="1" t="s">
        <v>18</v>
      </c>
      <c r="B51" s="1" t="s">
        <v>229</v>
      </c>
      <c r="C51" s="1" t="n">
        <v>56</v>
      </c>
      <c r="E51" s="1" t="s">
        <v>337</v>
      </c>
      <c r="F51" s="1" t="s">
        <v>338</v>
      </c>
      <c r="J51" s="1" t="s">
        <v>339</v>
      </c>
      <c r="K51" s="1" t="n">
        <f aca="false">IF(Search!$D$5="",0,IF(AND(OR(Search!$N$5="",ISNUMBER(SEARCH(Search!$N$5,J51))),OR(Search!$N$6="",ISNUMBER(SEARCH(Search!$N$6,J51))),OR(Search!$N$7="",ISNUMBER(SEARCH(Search!$N$7,J51))),OR(Search!$N$8="",ISNUMBER(SEARCH(Search!$N$8,J51)))),1,0))</f>
        <v>0</v>
      </c>
      <c r="L51" s="1" t="n">
        <f aca="false">L50+K51</f>
        <v>0</v>
      </c>
    </row>
    <row r="52" customFormat="false" ht="15" hidden="false" customHeight="true" outlineLevel="0" collapsed="false">
      <c r="A52" s="1" t="s">
        <v>18</v>
      </c>
      <c r="B52" s="1" t="s">
        <v>229</v>
      </c>
      <c r="C52" s="1" t="n">
        <v>57</v>
      </c>
      <c r="E52" s="1" t="s">
        <v>340</v>
      </c>
      <c r="F52" s="1" t="s">
        <v>341</v>
      </c>
      <c r="J52" s="1" t="s">
        <v>342</v>
      </c>
      <c r="K52" s="1" t="n">
        <f aca="false">IF(Search!$D$5="",0,IF(AND(OR(Search!$N$5="",ISNUMBER(SEARCH(Search!$N$5,J52))),OR(Search!$N$6="",ISNUMBER(SEARCH(Search!$N$6,J52))),OR(Search!$N$7="",ISNUMBER(SEARCH(Search!$N$7,J52))),OR(Search!$N$8="",ISNUMBER(SEARCH(Search!$N$8,J52)))),1,0))</f>
        <v>0</v>
      </c>
      <c r="L52" s="1" t="n">
        <f aca="false">L51+K52</f>
        <v>0</v>
      </c>
    </row>
    <row r="53" customFormat="false" ht="15" hidden="false" customHeight="true" outlineLevel="0" collapsed="false">
      <c r="A53" s="1" t="s">
        <v>18</v>
      </c>
      <c r="B53" s="1" t="s">
        <v>229</v>
      </c>
      <c r="C53" s="1" t="n">
        <v>58</v>
      </c>
      <c r="E53" s="1" t="s">
        <v>343</v>
      </c>
      <c r="F53" s="1" t="s">
        <v>344</v>
      </c>
      <c r="J53" s="1" t="s">
        <v>345</v>
      </c>
      <c r="K53" s="1" t="n">
        <f aca="false">IF(Search!$D$5="",0,IF(AND(OR(Search!$N$5="",ISNUMBER(SEARCH(Search!$N$5,J53))),OR(Search!$N$6="",ISNUMBER(SEARCH(Search!$N$6,J53))),OR(Search!$N$7="",ISNUMBER(SEARCH(Search!$N$7,J53))),OR(Search!$N$8="",ISNUMBER(SEARCH(Search!$N$8,J53)))),1,0))</f>
        <v>0</v>
      </c>
      <c r="L53" s="1" t="n">
        <f aca="false">L52+K53</f>
        <v>0</v>
      </c>
    </row>
    <row r="54" customFormat="false" ht="15" hidden="false" customHeight="true" outlineLevel="0" collapsed="false">
      <c r="A54" s="1" t="s">
        <v>18</v>
      </c>
      <c r="B54" s="1" t="s">
        <v>229</v>
      </c>
      <c r="C54" s="1" t="n">
        <v>59</v>
      </c>
      <c r="E54" s="1" t="s">
        <v>346</v>
      </c>
      <c r="F54" s="1" t="s">
        <v>347</v>
      </c>
      <c r="J54" s="1" t="s">
        <v>348</v>
      </c>
      <c r="K54" s="1" t="n">
        <f aca="false">IF(Search!$D$5="",0,IF(AND(OR(Search!$N$5="",ISNUMBER(SEARCH(Search!$N$5,J54))),OR(Search!$N$6="",ISNUMBER(SEARCH(Search!$N$6,J54))),OR(Search!$N$7="",ISNUMBER(SEARCH(Search!$N$7,J54))),OR(Search!$N$8="",ISNUMBER(SEARCH(Search!$N$8,J54)))),1,0))</f>
        <v>0</v>
      </c>
      <c r="L54" s="1" t="n">
        <f aca="false">L53+K54</f>
        <v>0</v>
      </c>
    </row>
    <row r="55" customFormat="false" ht="15" hidden="false" customHeight="true" outlineLevel="0" collapsed="false">
      <c r="A55" s="1" t="s">
        <v>18</v>
      </c>
      <c r="B55" s="1" t="s">
        <v>229</v>
      </c>
      <c r="C55" s="1" t="n">
        <v>60</v>
      </c>
      <c r="E55" s="1" t="s">
        <v>349</v>
      </c>
      <c r="F55" s="1" t="s">
        <v>350</v>
      </c>
      <c r="J55" s="1" t="s">
        <v>351</v>
      </c>
      <c r="K55" s="1" t="n">
        <f aca="false">IF(Search!$D$5="",0,IF(AND(OR(Search!$N$5="",ISNUMBER(SEARCH(Search!$N$5,J55))),OR(Search!$N$6="",ISNUMBER(SEARCH(Search!$N$6,J55))),OR(Search!$N$7="",ISNUMBER(SEARCH(Search!$N$7,J55))),OR(Search!$N$8="",ISNUMBER(SEARCH(Search!$N$8,J55)))),1,0))</f>
        <v>0</v>
      </c>
      <c r="L55" s="1" t="n">
        <f aca="false">L54+K55</f>
        <v>0</v>
      </c>
    </row>
    <row r="56" customFormat="false" ht="15" hidden="false" customHeight="true" outlineLevel="0" collapsed="false">
      <c r="A56" s="1" t="s">
        <v>18</v>
      </c>
      <c r="B56" s="1" t="s">
        <v>229</v>
      </c>
      <c r="C56" s="1" t="n">
        <v>61</v>
      </c>
      <c r="E56" s="1" t="s">
        <v>34</v>
      </c>
      <c r="F56" s="1" t="s">
        <v>352</v>
      </c>
      <c r="J56" s="1" t="s">
        <v>353</v>
      </c>
      <c r="K56" s="1" t="n">
        <f aca="false">IF(Search!$D$5="",0,IF(AND(OR(Search!$N$5="",ISNUMBER(SEARCH(Search!$N$5,J56))),OR(Search!$N$6="",ISNUMBER(SEARCH(Search!$N$6,J56))),OR(Search!$N$7="",ISNUMBER(SEARCH(Search!$N$7,J56))),OR(Search!$N$8="",ISNUMBER(SEARCH(Search!$N$8,J56)))),1,0))</f>
        <v>0</v>
      </c>
      <c r="L56" s="1" t="n">
        <f aca="false">L55+K56</f>
        <v>0</v>
      </c>
    </row>
    <row r="57" customFormat="false" ht="15" hidden="false" customHeight="true" outlineLevel="0" collapsed="false">
      <c r="A57" s="1" t="s">
        <v>18</v>
      </c>
      <c r="B57" s="1" t="s">
        <v>229</v>
      </c>
      <c r="C57" s="1" t="n">
        <v>64</v>
      </c>
      <c r="E57" s="1" t="s">
        <v>354</v>
      </c>
      <c r="J57" s="1" t="s">
        <v>354</v>
      </c>
      <c r="K57" s="1" t="n">
        <f aca="false">IF(Search!$D$5="",0,IF(AND(OR(Search!$N$5="",ISNUMBER(SEARCH(Search!$N$5,J57))),OR(Search!$N$6="",ISNUMBER(SEARCH(Search!$N$6,J57))),OR(Search!$N$7="",ISNUMBER(SEARCH(Search!$N$7,J57))),OR(Search!$N$8="",ISNUMBER(SEARCH(Search!$N$8,J57)))),1,0))</f>
        <v>0</v>
      </c>
      <c r="L57" s="1" t="n">
        <f aca="false">L56+K57</f>
        <v>0</v>
      </c>
    </row>
    <row r="58" customFormat="false" ht="15" hidden="false" customHeight="true" outlineLevel="0" collapsed="false">
      <c r="A58" s="1" t="s">
        <v>19</v>
      </c>
      <c r="B58" s="1" t="s">
        <v>355</v>
      </c>
      <c r="C58" s="1" t="n">
        <v>2</v>
      </c>
      <c r="E58" s="1" t="s">
        <v>356</v>
      </c>
      <c r="J58" s="1" t="s">
        <v>356</v>
      </c>
      <c r="K58" s="1" t="n">
        <f aca="false">IF(Search!$D$5="",0,IF(AND(OR(Search!$N$5="",ISNUMBER(SEARCH(Search!$N$5,J58))),OR(Search!$N$6="",ISNUMBER(SEARCH(Search!$N$6,J58))),OR(Search!$N$7="",ISNUMBER(SEARCH(Search!$N$7,J58))),OR(Search!$N$8="",ISNUMBER(SEARCH(Search!$N$8,J58)))),1,0))</f>
        <v>0</v>
      </c>
      <c r="L58" s="1" t="n">
        <f aca="false">L57+K58</f>
        <v>0</v>
      </c>
    </row>
    <row r="59" customFormat="false" ht="15" hidden="false" customHeight="true" outlineLevel="0" collapsed="false">
      <c r="A59" s="1" t="s">
        <v>19</v>
      </c>
      <c r="B59" s="1" t="s">
        <v>355</v>
      </c>
      <c r="C59" s="1" t="n">
        <v>3</v>
      </c>
      <c r="E59" s="1" t="s">
        <v>357</v>
      </c>
      <c r="J59" s="1" t="s">
        <v>357</v>
      </c>
      <c r="K59" s="1" t="n">
        <f aca="false">IF(Search!$D$5="",0,IF(AND(OR(Search!$N$5="",ISNUMBER(SEARCH(Search!$N$5,J59))),OR(Search!$N$6="",ISNUMBER(SEARCH(Search!$N$6,J59))),OR(Search!$N$7="",ISNUMBER(SEARCH(Search!$N$7,J59))),OR(Search!$N$8="",ISNUMBER(SEARCH(Search!$N$8,J59)))),1,0))</f>
        <v>0</v>
      </c>
      <c r="L59" s="1" t="n">
        <f aca="false">L58+K59</f>
        <v>0</v>
      </c>
    </row>
    <row r="60" customFormat="false" ht="15" hidden="false" customHeight="true" outlineLevel="0" collapsed="false">
      <c r="A60" s="1" t="s">
        <v>19</v>
      </c>
      <c r="B60" s="1" t="s">
        <v>355</v>
      </c>
      <c r="C60" s="1" t="n">
        <v>5</v>
      </c>
      <c r="E60" s="1" t="s">
        <v>358</v>
      </c>
      <c r="G60" s="1" t="s">
        <v>359</v>
      </c>
      <c r="I60" s="1" t="s">
        <v>360</v>
      </c>
      <c r="J60" s="1" t="s">
        <v>361</v>
      </c>
      <c r="K60" s="1" t="n">
        <f aca="false">IF(Search!$D$5="",0,IF(AND(OR(Search!$N$5="",ISNUMBER(SEARCH(Search!$N$5,J60))),OR(Search!$N$6="",ISNUMBER(SEARCH(Search!$N$6,J60))),OR(Search!$N$7="",ISNUMBER(SEARCH(Search!$N$7,J60))),OR(Search!$N$8="",ISNUMBER(SEARCH(Search!$N$8,J60)))),1,0))</f>
        <v>0</v>
      </c>
      <c r="L60" s="1" t="n">
        <f aca="false">L59+K60</f>
        <v>0</v>
      </c>
    </row>
    <row r="61" customFormat="false" ht="15" hidden="false" customHeight="true" outlineLevel="0" collapsed="false">
      <c r="A61" s="1" t="s">
        <v>19</v>
      </c>
      <c r="B61" s="1" t="s">
        <v>355</v>
      </c>
      <c r="C61" s="1" t="n">
        <v>6</v>
      </c>
      <c r="E61" s="1" t="s">
        <v>362</v>
      </c>
      <c r="G61" s="1" t="s">
        <v>362</v>
      </c>
      <c r="I61" s="1" t="s">
        <v>362</v>
      </c>
      <c r="J61" s="1" t="s">
        <v>363</v>
      </c>
      <c r="K61" s="1" t="n">
        <f aca="false">IF(Search!$D$5="",0,IF(AND(OR(Search!$N$5="",ISNUMBER(SEARCH(Search!$N$5,J61))),OR(Search!$N$6="",ISNUMBER(SEARCH(Search!$N$6,J61))),OR(Search!$N$7="",ISNUMBER(SEARCH(Search!$N$7,J61))),OR(Search!$N$8="",ISNUMBER(SEARCH(Search!$N$8,J61)))),1,0))</f>
        <v>0</v>
      </c>
      <c r="L61" s="1" t="n">
        <f aca="false">L60+K61</f>
        <v>0</v>
      </c>
    </row>
    <row r="62" customFormat="false" ht="15" hidden="false" customHeight="true" outlineLevel="0" collapsed="false">
      <c r="A62" s="1" t="s">
        <v>19</v>
      </c>
      <c r="B62" s="1" t="s">
        <v>355</v>
      </c>
      <c r="C62" s="1" t="n">
        <v>7</v>
      </c>
      <c r="E62" s="1" t="s">
        <v>364</v>
      </c>
      <c r="G62" s="1" t="s">
        <v>364</v>
      </c>
      <c r="I62" s="1" t="s">
        <v>364</v>
      </c>
      <c r="J62" s="1" t="s">
        <v>365</v>
      </c>
      <c r="K62" s="1" t="n">
        <f aca="false">IF(Search!$D$5="",0,IF(AND(OR(Search!$N$5="",ISNUMBER(SEARCH(Search!$N$5,J62))),OR(Search!$N$6="",ISNUMBER(SEARCH(Search!$N$6,J62))),OR(Search!$N$7="",ISNUMBER(SEARCH(Search!$N$7,J62))),OR(Search!$N$8="",ISNUMBER(SEARCH(Search!$N$8,J62)))),1,0))</f>
        <v>0</v>
      </c>
      <c r="L62" s="1" t="n">
        <f aca="false">L61+K62</f>
        <v>0</v>
      </c>
    </row>
    <row r="63" customFormat="false" ht="15" hidden="false" customHeight="true" outlineLevel="0" collapsed="false">
      <c r="A63" s="1" t="s">
        <v>19</v>
      </c>
      <c r="B63" s="1" t="s">
        <v>355</v>
      </c>
      <c r="C63" s="1" t="n">
        <v>8</v>
      </c>
      <c r="E63" s="1" t="s">
        <v>366</v>
      </c>
      <c r="G63" s="1" t="s">
        <v>62</v>
      </c>
      <c r="I63" s="1" t="s">
        <v>367</v>
      </c>
      <c r="J63" s="1" t="s">
        <v>368</v>
      </c>
      <c r="K63" s="1" t="n">
        <f aca="false">IF(Search!$D$5="",0,IF(AND(OR(Search!$N$5="",ISNUMBER(SEARCH(Search!$N$5,J63))),OR(Search!$N$6="",ISNUMBER(SEARCH(Search!$N$6,J63))),OR(Search!$N$7="",ISNUMBER(SEARCH(Search!$N$7,J63))),OR(Search!$N$8="",ISNUMBER(SEARCH(Search!$N$8,J63)))),1,0))</f>
        <v>0</v>
      </c>
      <c r="L63" s="1" t="n">
        <f aca="false">L62+K63</f>
        <v>0</v>
      </c>
    </row>
    <row r="64" customFormat="false" ht="15" hidden="false" customHeight="true" outlineLevel="0" collapsed="false">
      <c r="A64" s="1" t="s">
        <v>19</v>
      </c>
      <c r="B64" s="1" t="s">
        <v>355</v>
      </c>
      <c r="C64" s="1" t="n">
        <v>9</v>
      </c>
      <c r="E64" s="1" t="s">
        <v>369</v>
      </c>
      <c r="G64" s="1" t="s">
        <v>369</v>
      </c>
      <c r="I64" s="1" t="s">
        <v>369</v>
      </c>
      <c r="J64" s="1" t="s">
        <v>370</v>
      </c>
      <c r="K64" s="1" t="n">
        <f aca="false">IF(Search!$D$5="",0,IF(AND(OR(Search!$N$5="",ISNUMBER(SEARCH(Search!$N$5,J64))),OR(Search!$N$6="",ISNUMBER(SEARCH(Search!$N$6,J64))),OR(Search!$N$7="",ISNUMBER(SEARCH(Search!$N$7,J64))),OR(Search!$N$8="",ISNUMBER(SEARCH(Search!$N$8,J64)))),1,0))</f>
        <v>0</v>
      </c>
      <c r="L64" s="1" t="n">
        <f aca="false">L63+K64</f>
        <v>0</v>
      </c>
    </row>
    <row r="65" customFormat="false" ht="15" hidden="false" customHeight="true" outlineLevel="0" collapsed="false">
      <c r="A65" s="1" t="s">
        <v>19</v>
      </c>
      <c r="B65" s="1" t="s">
        <v>355</v>
      </c>
      <c r="C65" s="1" t="n">
        <v>10</v>
      </c>
      <c r="E65" s="1" t="s">
        <v>371</v>
      </c>
      <c r="G65" s="1" t="s">
        <v>372</v>
      </c>
      <c r="I65" s="1" t="s">
        <v>373</v>
      </c>
      <c r="J65" s="1" t="s">
        <v>374</v>
      </c>
      <c r="K65" s="1" t="n">
        <f aca="false">IF(Search!$D$5="",0,IF(AND(OR(Search!$N$5="",ISNUMBER(SEARCH(Search!$N$5,J65))),OR(Search!$N$6="",ISNUMBER(SEARCH(Search!$N$6,J65))),OR(Search!$N$7="",ISNUMBER(SEARCH(Search!$N$7,J65))),OR(Search!$N$8="",ISNUMBER(SEARCH(Search!$N$8,J65)))),1,0))</f>
        <v>0</v>
      </c>
      <c r="L65" s="1" t="n">
        <f aca="false">L64+K65</f>
        <v>0</v>
      </c>
    </row>
    <row r="66" customFormat="false" ht="15" hidden="false" customHeight="true" outlineLevel="0" collapsed="false">
      <c r="A66" s="1" t="s">
        <v>19</v>
      </c>
      <c r="B66" s="1" t="s">
        <v>355</v>
      </c>
      <c r="C66" s="1" t="n">
        <v>11</v>
      </c>
      <c r="E66" s="1" t="s">
        <v>375</v>
      </c>
      <c r="G66" s="1" t="s">
        <v>375</v>
      </c>
      <c r="I66" s="1" t="s">
        <v>375</v>
      </c>
      <c r="J66" s="1" t="s">
        <v>376</v>
      </c>
      <c r="K66" s="1" t="n">
        <f aca="false">IF(Search!$D$5="",0,IF(AND(OR(Search!$N$5="",ISNUMBER(SEARCH(Search!$N$5,J66))),OR(Search!$N$6="",ISNUMBER(SEARCH(Search!$N$6,J66))),OR(Search!$N$7="",ISNUMBER(SEARCH(Search!$N$7,J66))),OR(Search!$N$8="",ISNUMBER(SEARCH(Search!$N$8,J66)))),1,0))</f>
        <v>0</v>
      </c>
      <c r="L66" s="1" t="n">
        <f aca="false">L65+K66</f>
        <v>0</v>
      </c>
    </row>
    <row r="67" customFormat="false" ht="15" hidden="false" customHeight="true" outlineLevel="0" collapsed="false">
      <c r="A67" s="1" t="s">
        <v>19</v>
      </c>
      <c r="B67" s="1" t="s">
        <v>355</v>
      </c>
      <c r="C67" s="1" t="n">
        <v>12</v>
      </c>
      <c r="E67" s="1" t="s">
        <v>377</v>
      </c>
      <c r="G67" s="1" t="s">
        <v>377</v>
      </c>
      <c r="I67" s="1" t="s">
        <v>378</v>
      </c>
      <c r="J67" s="1" t="s">
        <v>379</v>
      </c>
      <c r="K67" s="1" t="n">
        <f aca="false">IF(Search!$D$5="",0,IF(AND(OR(Search!$N$5="",ISNUMBER(SEARCH(Search!$N$5,J67))),OR(Search!$N$6="",ISNUMBER(SEARCH(Search!$N$6,J67))),OR(Search!$N$7="",ISNUMBER(SEARCH(Search!$N$7,J67))),OR(Search!$N$8="",ISNUMBER(SEARCH(Search!$N$8,J67)))),1,0))</f>
        <v>0</v>
      </c>
      <c r="L67" s="1" t="n">
        <f aca="false">L66+K67</f>
        <v>0</v>
      </c>
    </row>
    <row r="68" customFormat="false" ht="15" hidden="false" customHeight="true" outlineLevel="0" collapsed="false">
      <c r="A68" s="1" t="s">
        <v>19</v>
      </c>
      <c r="B68" s="1" t="s">
        <v>355</v>
      </c>
      <c r="C68" s="1" t="n">
        <v>13</v>
      </c>
      <c r="E68" s="1" t="s">
        <v>380</v>
      </c>
      <c r="G68" s="1" t="s">
        <v>381</v>
      </c>
      <c r="I68" s="1" t="s">
        <v>382</v>
      </c>
      <c r="J68" s="1" t="s">
        <v>383</v>
      </c>
      <c r="K68" s="1" t="n">
        <f aca="false">IF(Search!$D$5="",0,IF(AND(OR(Search!$N$5="",ISNUMBER(SEARCH(Search!$N$5,J68))),OR(Search!$N$6="",ISNUMBER(SEARCH(Search!$N$6,J68))),OR(Search!$N$7="",ISNUMBER(SEARCH(Search!$N$7,J68))),OR(Search!$N$8="",ISNUMBER(SEARCH(Search!$N$8,J68)))),1,0))</f>
        <v>0</v>
      </c>
      <c r="L68" s="1" t="n">
        <f aca="false">L67+K68</f>
        <v>0</v>
      </c>
    </row>
    <row r="69" customFormat="false" ht="15" hidden="false" customHeight="true" outlineLevel="0" collapsed="false">
      <c r="A69" s="1" t="s">
        <v>19</v>
      </c>
      <c r="B69" s="1" t="s">
        <v>355</v>
      </c>
      <c r="C69" s="1" t="n">
        <v>15</v>
      </c>
      <c r="E69" s="1" t="s">
        <v>384</v>
      </c>
      <c r="G69" s="1" t="s">
        <v>384</v>
      </c>
      <c r="I69" s="1" t="s">
        <v>384</v>
      </c>
      <c r="J69" s="1" t="s">
        <v>385</v>
      </c>
      <c r="K69" s="1" t="n">
        <f aca="false">IF(Search!$D$5="",0,IF(AND(OR(Search!$N$5="",ISNUMBER(SEARCH(Search!$N$5,J69))),OR(Search!$N$6="",ISNUMBER(SEARCH(Search!$N$6,J69))),OR(Search!$N$7="",ISNUMBER(SEARCH(Search!$N$7,J69))),OR(Search!$N$8="",ISNUMBER(SEARCH(Search!$N$8,J69)))),1,0))</f>
        <v>0</v>
      </c>
      <c r="L69" s="1" t="n">
        <f aca="false">L68+K69</f>
        <v>0</v>
      </c>
    </row>
    <row r="70" customFormat="false" ht="15" hidden="false" customHeight="true" outlineLevel="0" collapsed="false">
      <c r="A70" s="1" t="s">
        <v>19</v>
      </c>
      <c r="B70" s="1" t="s">
        <v>355</v>
      </c>
      <c r="C70" s="1" t="n">
        <v>16</v>
      </c>
      <c r="E70" s="1" t="s">
        <v>386</v>
      </c>
      <c r="G70" s="1" t="s">
        <v>387</v>
      </c>
      <c r="I70" s="1" t="s">
        <v>388</v>
      </c>
      <c r="J70" s="1" t="s">
        <v>389</v>
      </c>
      <c r="K70" s="1" t="n">
        <f aca="false">IF(Search!$D$5="",0,IF(AND(OR(Search!$N$5="",ISNUMBER(SEARCH(Search!$N$5,J70))),OR(Search!$N$6="",ISNUMBER(SEARCH(Search!$N$6,J70))),OR(Search!$N$7="",ISNUMBER(SEARCH(Search!$N$7,J70))),OR(Search!$N$8="",ISNUMBER(SEARCH(Search!$N$8,J70)))),1,0))</f>
        <v>0</v>
      </c>
      <c r="L70" s="1" t="n">
        <f aca="false">L69+K70</f>
        <v>0</v>
      </c>
    </row>
    <row r="71" customFormat="false" ht="15" hidden="false" customHeight="true" outlineLevel="0" collapsed="false">
      <c r="A71" s="1" t="s">
        <v>19</v>
      </c>
      <c r="B71" s="1" t="s">
        <v>355</v>
      </c>
      <c r="C71" s="1" t="n">
        <v>19</v>
      </c>
      <c r="E71" s="1" t="s">
        <v>390</v>
      </c>
      <c r="G71" s="1" t="s">
        <v>20</v>
      </c>
      <c r="I71" s="1" t="s">
        <v>21</v>
      </c>
      <c r="J71" s="1" t="s">
        <v>391</v>
      </c>
      <c r="K71" s="1" t="n">
        <f aca="false">IF(Search!$D$5="",0,IF(AND(OR(Search!$N$5="",ISNUMBER(SEARCH(Search!$N$5,J71))),OR(Search!$N$6="",ISNUMBER(SEARCH(Search!$N$6,J71))),OR(Search!$N$7="",ISNUMBER(SEARCH(Search!$N$7,J71))),OR(Search!$N$8="",ISNUMBER(SEARCH(Search!$N$8,J71)))),1,0))</f>
        <v>0</v>
      </c>
      <c r="L71" s="1" t="n">
        <f aca="false">L70+K71</f>
        <v>0</v>
      </c>
    </row>
    <row r="72" customFormat="false" ht="15" hidden="false" customHeight="true" outlineLevel="0" collapsed="false">
      <c r="A72" s="1" t="s">
        <v>19</v>
      </c>
      <c r="B72" s="1" t="s">
        <v>355</v>
      </c>
      <c r="C72" s="1" t="n">
        <v>21</v>
      </c>
      <c r="E72" s="1" t="s">
        <v>392</v>
      </c>
      <c r="J72" s="1" t="s">
        <v>392</v>
      </c>
      <c r="K72" s="1" t="n">
        <f aca="false">IF(Search!$D$5="",0,IF(AND(OR(Search!$N$5="",ISNUMBER(SEARCH(Search!$N$5,J72))),OR(Search!$N$6="",ISNUMBER(SEARCH(Search!$N$6,J72))),OR(Search!$N$7="",ISNUMBER(SEARCH(Search!$N$7,J72))),OR(Search!$N$8="",ISNUMBER(SEARCH(Search!$N$8,J72)))),1,0))</f>
        <v>0</v>
      </c>
      <c r="L72" s="1" t="n">
        <f aca="false">L71+K72</f>
        <v>0</v>
      </c>
    </row>
    <row r="73" customFormat="false" ht="15" hidden="false" customHeight="true" outlineLevel="0" collapsed="false">
      <c r="A73" s="1" t="s">
        <v>20</v>
      </c>
      <c r="B73" s="1" t="s">
        <v>355</v>
      </c>
      <c r="C73" s="1" t="n">
        <v>2</v>
      </c>
      <c r="E73" s="1" t="s">
        <v>393</v>
      </c>
      <c r="J73" s="1" t="s">
        <v>393</v>
      </c>
      <c r="K73" s="1" t="n">
        <f aca="false">IF(Search!$D$5="",0,IF(AND(OR(Search!$N$5="",ISNUMBER(SEARCH(Search!$N$5,J73))),OR(Search!$N$6="",ISNUMBER(SEARCH(Search!$N$6,J73))),OR(Search!$N$7="",ISNUMBER(SEARCH(Search!$N$7,J73))),OR(Search!$N$8="",ISNUMBER(SEARCH(Search!$N$8,J73)))),1,0))</f>
        <v>0</v>
      </c>
      <c r="L73" s="1" t="n">
        <f aca="false">L72+K73</f>
        <v>0</v>
      </c>
    </row>
    <row r="74" customFormat="false" ht="15" hidden="false" customHeight="true" outlineLevel="0" collapsed="false">
      <c r="A74" s="1" t="s">
        <v>20</v>
      </c>
      <c r="B74" s="1" t="s">
        <v>355</v>
      </c>
      <c r="C74" s="1" t="n">
        <v>3</v>
      </c>
      <c r="E74" s="1" t="s">
        <v>394</v>
      </c>
      <c r="J74" s="1" t="s">
        <v>394</v>
      </c>
      <c r="K74" s="1" t="n">
        <f aca="false">IF(Search!$D$5="",0,IF(AND(OR(Search!$N$5="",ISNUMBER(SEARCH(Search!$N$5,J74))),OR(Search!$N$6="",ISNUMBER(SEARCH(Search!$N$6,J74))),OR(Search!$N$7="",ISNUMBER(SEARCH(Search!$N$7,J74))),OR(Search!$N$8="",ISNUMBER(SEARCH(Search!$N$8,J74)))),1,0))</f>
        <v>0</v>
      </c>
      <c r="L74" s="1" t="n">
        <f aca="false">L73+K74</f>
        <v>0</v>
      </c>
    </row>
    <row r="75" customFormat="false" ht="15" hidden="false" customHeight="true" outlineLevel="0" collapsed="false">
      <c r="A75" s="1" t="s">
        <v>20</v>
      </c>
      <c r="B75" s="1" t="s">
        <v>355</v>
      </c>
      <c r="C75" s="1" t="n">
        <v>5</v>
      </c>
      <c r="E75" s="1" t="s">
        <v>395</v>
      </c>
      <c r="F75" s="1" t="s">
        <v>358</v>
      </c>
      <c r="G75" s="1" t="s">
        <v>359</v>
      </c>
      <c r="H75" s="1" t="s">
        <v>360</v>
      </c>
      <c r="I75" s="1" t="s">
        <v>396</v>
      </c>
      <c r="J75" s="1" t="s">
        <v>397</v>
      </c>
      <c r="K75" s="1" t="n">
        <f aca="false">IF(Search!$D$5="",0,IF(AND(OR(Search!$N$5="",ISNUMBER(SEARCH(Search!$N$5,J75))),OR(Search!$N$6="",ISNUMBER(SEARCH(Search!$N$6,J75))),OR(Search!$N$7="",ISNUMBER(SEARCH(Search!$N$7,J75))),OR(Search!$N$8="",ISNUMBER(SEARCH(Search!$N$8,J75)))),1,0))</f>
        <v>0</v>
      </c>
      <c r="L75" s="1" t="n">
        <f aca="false">L74+K75</f>
        <v>0</v>
      </c>
    </row>
    <row r="76" customFormat="false" ht="15" hidden="false" customHeight="true" outlineLevel="0" collapsed="false">
      <c r="A76" s="1" t="s">
        <v>20</v>
      </c>
      <c r="B76" s="1" t="s">
        <v>355</v>
      </c>
      <c r="C76" s="1" t="n">
        <v>6</v>
      </c>
      <c r="E76" s="1" t="s">
        <v>398</v>
      </c>
      <c r="F76" s="1" t="s">
        <v>399</v>
      </c>
      <c r="G76" s="1" t="s">
        <v>400</v>
      </c>
      <c r="H76" s="1" t="s">
        <v>401</v>
      </c>
      <c r="I76" s="1" t="s">
        <v>402</v>
      </c>
      <c r="J76" s="1" t="s">
        <v>403</v>
      </c>
      <c r="K76" s="1" t="n">
        <f aca="false">IF(Search!$D$5="",0,IF(AND(OR(Search!$N$5="",ISNUMBER(SEARCH(Search!$N$5,J76))),OR(Search!$N$6="",ISNUMBER(SEARCH(Search!$N$6,J76))),OR(Search!$N$7="",ISNUMBER(SEARCH(Search!$N$7,J76))),OR(Search!$N$8="",ISNUMBER(SEARCH(Search!$N$8,J76)))),1,0))</f>
        <v>0</v>
      </c>
      <c r="L76" s="1" t="n">
        <f aca="false">L75+K76</f>
        <v>0</v>
      </c>
    </row>
    <row r="77" customFormat="false" ht="15" hidden="false" customHeight="true" outlineLevel="0" collapsed="false">
      <c r="A77" s="1" t="s">
        <v>20</v>
      </c>
      <c r="B77" s="1" t="s">
        <v>355</v>
      </c>
      <c r="C77" s="1" t="n">
        <v>7</v>
      </c>
      <c r="E77" s="1" t="s">
        <v>404</v>
      </c>
      <c r="F77" s="1" t="s">
        <v>405</v>
      </c>
      <c r="G77" s="1" t="s">
        <v>406</v>
      </c>
      <c r="H77" s="1" t="s">
        <v>407</v>
      </c>
      <c r="I77" s="1" t="s">
        <v>408</v>
      </c>
      <c r="J77" s="1" t="s">
        <v>409</v>
      </c>
      <c r="K77" s="1" t="n">
        <f aca="false">IF(Search!$D$5="",0,IF(AND(OR(Search!$N$5="",ISNUMBER(SEARCH(Search!$N$5,J77))),OR(Search!$N$6="",ISNUMBER(SEARCH(Search!$N$6,J77))),OR(Search!$N$7="",ISNUMBER(SEARCH(Search!$N$7,J77))),OR(Search!$N$8="",ISNUMBER(SEARCH(Search!$N$8,J77)))),1,0))</f>
        <v>0</v>
      </c>
      <c r="L77" s="1" t="n">
        <f aca="false">L76+K77</f>
        <v>0</v>
      </c>
    </row>
    <row r="78" customFormat="false" ht="15" hidden="false" customHeight="true" outlineLevel="0" collapsed="false">
      <c r="A78" s="1" t="s">
        <v>20</v>
      </c>
      <c r="B78" s="1" t="s">
        <v>355</v>
      </c>
      <c r="C78" s="1" t="n">
        <v>8</v>
      </c>
      <c r="E78" s="1" t="s">
        <v>410</v>
      </c>
      <c r="F78" s="1" t="s">
        <v>411</v>
      </c>
      <c r="G78" s="1" t="s">
        <v>412</v>
      </c>
      <c r="H78" s="1" t="s">
        <v>413</v>
      </c>
      <c r="I78" s="1" t="s">
        <v>414</v>
      </c>
      <c r="J78" s="1" t="s">
        <v>415</v>
      </c>
      <c r="K78" s="1" t="n">
        <f aca="false">IF(Search!$D$5="",0,IF(AND(OR(Search!$N$5="",ISNUMBER(SEARCH(Search!$N$5,J78))),OR(Search!$N$6="",ISNUMBER(SEARCH(Search!$N$6,J78))),OR(Search!$N$7="",ISNUMBER(SEARCH(Search!$N$7,J78))),OR(Search!$N$8="",ISNUMBER(SEARCH(Search!$N$8,J78)))),1,0))</f>
        <v>0</v>
      </c>
      <c r="L78" s="1" t="n">
        <f aca="false">L77+K78</f>
        <v>0</v>
      </c>
    </row>
    <row r="79" customFormat="false" ht="15" hidden="false" customHeight="true" outlineLevel="0" collapsed="false">
      <c r="A79" s="1" t="s">
        <v>20</v>
      </c>
      <c r="B79" s="1" t="s">
        <v>355</v>
      </c>
      <c r="C79" s="1" t="n">
        <v>9</v>
      </c>
      <c r="E79" s="1" t="s">
        <v>416</v>
      </c>
      <c r="F79" s="1" t="s">
        <v>411</v>
      </c>
      <c r="G79" s="1" t="s">
        <v>417</v>
      </c>
      <c r="H79" s="1" t="s">
        <v>418</v>
      </c>
      <c r="I79" s="1" t="s">
        <v>419</v>
      </c>
      <c r="J79" s="1" t="s">
        <v>420</v>
      </c>
      <c r="K79" s="1" t="n">
        <f aca="false">IF(Search!$D$5="",0,IF(AND(OR(Search!$N$5="",ISNUMBER(SEARCH(Search!$N$5,J79))),OR(Search!$N$6="",ISNUMBER(SEARCH(Search!$N$6,J79))),OR(Search!$N$7="",ISNUMBER(SEARCH(Search!$N$7,J79))),OR(Search!$N$8="",ISNUMBER(SEARCH(Search!$N$8,J79)))),1,0))</f>
        <v>0</v>
      </c>
      <c r="L79" s="1" t="n">
        <f aca="false">L78+K79</f>
        <v>0</v>
      </c>
    </row>
    <row r="80" customFormat="false" ht="15" hidden="false" customHeight="true" outlineLevel="0" collapsed="false">
      <c r="A80" s="1" t="s">
        <v>20</v>
      </c>
      <c r="B80" s="1" t="s">
        <v>355</v>
      </c>
      <c r="C80" s="1" t="n">
        <v>10</v>
      </c>
      <c r="E80" s="1" t="s">
        <v>421</v>
      </c>
      <c r="F80" s="1" t="s">
        <v>411</v>
      </c>
      <c r="G80" s="1" t="s">
        <v>399</v>
      </c>
      <c r="H80" s="1" t="s">
        <v>422</v>
      </c>
      <c r="I80" s="1" t="s">
        <v>423</v>
      </c>
      <c r="J80" s="1" t="s">
        <v>424</v>
      </c>
      <c r="K80" s="1" t="n">
        <f aca="false">IF(Search!$D$5="",0,IF(AND(OR(Search!$N$5="",ISNUMBER(SEARCH(Search!$N$5,J80))),OR(Search!$N$6="",ISNUMBER(SEARCH(Search!$N$6,J80))),OR(Search!$N$7="",ISNUMBER(SEARCH(Search!$N$7,J80))),OR(Search!$N$8="",ISNUMBER(SEARCH(Search!$N$8,J80)))),1,0))</f>
        <v>0</v>
      </c>
      <c r="L80" s="1" t="n">
        <f aca="false">L79+K80</f>
        <v>0</v>
      </c>
    </row>
    <row r="81" customFormat="false" ht="15" hidden="false" customHeight="true" outlineLevel="0" collapsed="false">
      <c r="A81" s="1" t="s">
        <v>20</v>
      </c>
      <c r="B81" s="1" t="s">
        <v>355</v>
      </c>
      <c r="C81" s="1" t="n">
        <v>11</v>
      </c>
      <c r="E81" s="1" t="s">
        <v>425</v>
      </c>
      <c r="F81" s="1" t="s">
        <v>426</v>
      </c>
      <c r="G81" s="1" t="s">
        <v>405</v>
      </c>
      <c r="H81" s="1" t="s">
        <v>427</v>
      </c>
      <c r="I81" s="1" t="s">
        <v>428</v>
      </c>
      <c r="J81" s="1" t="s">
        <v>429</v>
      </c>
      <c r="K81" s="1" t="n">
        <f aca="false">IF(Search!$D$5="",0,IF(AND(OR(Search!$N$5="",ISNUMBER(SEARCH(Search!$N$5,J81))),OR(Search!$N$6="",ISNUMBER(SEARCH(Search!$N$6,J81))),OR(Search!$N$7="",ISNUMBER(SEARCH(Search!$N$7,J81))),OR(Search!$N$8="",ISNUMBER(SEARCH(Search!$N$8,J81)))),1,0))</f>
        <v>0</v>
      </c>
      <c r="L81" s="1" t="n">
        <f aca="false">L80+K81</f>
        <v>0</v>
      </c>
    </row>
    <row r="82" customFormat="false" ht="15" hidden="false" customHeight="true" outlineLevel="0" collapsed="false">
      <c r="A82" s="1" t="s">
        <v>20</v>
      </c>
      <c r="B82" s="1" t="s">
        <v>355</v>
      </c>
      <c r="C82" s="1" t="n">
        <v>12</v>
      </c>
      <c r="E82" s="1" t="s">
        <v>430</v>
      </c>
      <c r="F82" s="1" t="s">
        <v>431</v>
      </c>
      <c r="G82" s="1" t="s">
        <v>411</v>
      </c>
      <c r="H82" s="1" t="s">
        <v>432</v>
      </c>
      <c r="I82" s="1" t="s">
        <v>433</v>
      </c>
      <c r="J82" s="1" t="s">
        <v>434</v>
      </c>
      <c r="K82" s="1" t="n">
        <f aca="false">IF(Search!$D$5="",0,IF(AND(OR(Search!$N$5="",ISNUMBER(SEARCH(Search!$N$5,J82))),OR(Search!$N$6="",ISNUMBER(SEARCH(Search!$N$6,J82))),OR(Search!$N$7="",ISNUMBER(SEARCH(Search!$N$7,J82))),OR(Search!$N$8="",ISNUMBER(SEARCH(Search!$N$8,J82)))),1,0))</f>
        <v>0</v>
      </c>
      <c r="L82" s="1" t="n">
        <f aca="false">L81+K82</f>
        <v>0</v>
      </c>
    </row>
    <row r="83" customFormat="false" ht="15" hidden="false" customHeight="true" outlineLevel="0" collapsed="false">
      <c r="A83" s="1" t="s">
        <v>20</v>
      </c>
      <c r="B83" s="1" t="s">
        <v>355</v>
      </c>
      <c r="C83" s="1" t="n">
        <v>13</v>
      </c>
      <c r="E83" s="1" t="s">
        <v>435</v>
      </c>
      <c r="F83" s="1" t="s">
        <v>436</v>
      </c>
      <c r="G83" s="1" t="s">
        <v>437</v>
      </c>
      <c r="H83" s="1" t="s">
        <v>400</v>
      </c>
      <c r="I83" s="1" t="s">
        <v>433</v>
      </c>
      <c r="J83" s="1" t="s">
        <v>438</v>
      </c>
      <c r="K83" s="1" t="n">
        <f aca="false">IF(Search!$D$5="",0,IF(AND(OR(Search!$N$5="",ISNUMBER(SEARCH(Search!$N$5,J83))),OR(Search!$N$6="",ISNUMBER(SEARCH(Search!$N$6,J83))),OR(Search!$N$7="",ISNUMBER(SEARCH(Search!$N$7,J83))),OR(Search!$N$8="",ISNUMBER(SEARCH(Search!$N$8,J83)))),1,0))</f>
        <v>0</v>
      </c>
      <c r="L83" s="1" t="n">
        <f aca="false">L82+K83</f>
        <v>0</v>
      </c>
    </row>
    <row r="84" customFormat="false" ht="15" hidden="false" customHeight="true" outlineLevel="0" collapsed="false">
      <c r="A84" s="1" t="s">
        <v>20</v>
      </c>
      <c r="B84" s="1" t="s">
        <v>355</v>
      </c>
      <c r="C84" s="1" t="n">
        <v>15</v>
      </c>
      <c r="E84" s="1" t="s">
        <v>439</v>
      </c>
      <c r="J84" s="1" t="s">
        <v>439</v>
      </c>
      <c r="K84" s="1" t="n">
        <f aca="false">IF(Search!$D$5="",0,IF(AND(OR(Search!$N$5="",ISNUMBER(SEARCH(Search!$N$5,J84))),OR(Search!$N$6="",ISNUMBER(SEARCH(Search!$N$6,J84))),OR(Search!$N$7="",ISNUMBER(SEARCH(Search!$N$7,J84))),OR(Search!$N$8="",ISNUMBER(SEARCH(Search!$N$8,J84)))),1,0))</f>
        <v>0</v>
      </c>
      <c r="L84" s="1" t="n">
        <f aca="false">L83+K84</f>
        <v>0</v>
      </c>
    </row>
    <row r="85" customFormat="false" ht="15" hidden="false" customHeight="true" outlineLevel="0" collapsed="false">
      <c r="A85" s="1" t="s">
        <v>20</v>
      </c>
      <c r="B85" s="1" t="s">
        <v>355</v>
      </c>
      <c r="C85" s="1" t="n">
        <v>16</v>
      </c>
      <c r="E85" s="1" t="s">
        <v>440</v>
      </c>
      <c r="J85" s="1" t="s">
        <v>440</v>
      </c>
      <c r="K85" s="1" t="n">
        <f aca="false">IF(Search!$D$5="",0,IF(AND(OR(Search!$N$5="",ISNUMBER(SEARCH(Search!$N$5,J85))),OR(Search!$N$6="",ISNUMBER(SEARCH(Search!$N$6,J85))),OR(Search!$N$7="",ISNUMBER(SEARCH(Search!$N$7,J85))),OR(Search!$N$8="",ISNUMBER(SEARCH(Search!$N$8,J85)))),1,0))</f>
        <v>0</v>
      </c>
      <c r="L85" s="1" t="n">
        <f aca="false">L84+K85</f>
        <v>0</v>
      </c>
    </row>
    <row r="86" customFormat="false" ht="15" hidden="false" customHeight="true" outlineLevel="0" collapsed="false">
      <c r="A86" s="1" t="s">
        <v>21</v>
      </c>
      <c r="B86" s="1" t="s">
        <v>355</v>
      </c>
      <c r="C86" s="1" t="n">
        <v>2</v>
      </c>
      <c r="E86" s="1" t="s">
        <v>441</v>
      </c>
      <c r="J86" s="1" t="s">
        <v>441</v>
      </c>
      <c r="K86" s="1" t="n">
        <f aca="false">IF(Search!$D$5="",0,IF(AND(OR(Search!$N$5="",ISNUMBER(SEARCH(Search!$N$5,J86))),OR(Search!$N$6="",ISNUMBER(SEARCH(Search!$N$6,J86))),OR(Search!$N$7="",ISNUMBER(SEARCH(Search!$N$7,J86))),OR(Search!$N$8="",ISNUMBER(SEARCH(Search!$N$8,J86)))),1,0))</f>
        <v>0</v>
      </c>
      <c r="L86" s="1" t="n">
        <f aca="false">L85+K86</f>
        <v>0</v>
      </c>
    </row>
    <row r="87" customFormat="false" ht="15" hidden="false" customHeight="true" outlineLevel="0" collapsed="false">
      <c r="A87" s="1" t="s">
        <v>21</v>
      </c>
      <c r="B87" s="1" t="s">
        <v>355</v>
      </c>
      <c r="C87" s="1" t="n">
        <v>3</v>
      </c>
      <c r="E87" s="1" t="s">
        <v>442</v>
      </c>
      <c r="J87" s="1" t="s">
        <v>442</v>
      </c>
      <c r="K87" s="1" t="n">
        <f aca="false">IF(Search!$D$5="",0,IF(AND(OR(Search!$N$5="",ISNUMBER(SEARCH(Search!$N$5,J87))),OR(Search!$N$6="",ISNUMBER(SEARCH(Search!$N$6,J87))),OR(Search!$N$7="",ISNUMBER(SEARCH(Search!$N$7,J87))),OR(Search!$N$8="",ISNUMBER(SEARCH(Search!$N$8,J87)))),1,0))</f>
        <v>0</v>
      </c>
      <c r="L87" s="1" t="n">
        <f aca="false">L86+K87</f>
        <v>0</v>
      </c>
    </row>
    <row r="88" customFormat="false" ht="15" hidden="false" customHeight="true" outlineLevel="0" collapsed="false">
      <c r="A88" s="1" t="s">
        <v>21</v>
      </c>
      <c r="B88" s="1" t="s">
        <v>355</v>
      </c>
      <c r="C88" s="1" t="n">
        <v>5</v>
      </c>
      <c r="E88" s="1" t="s">
        <v>395</v>
      </c>
      <c r="F88" s="1" t="s">
        <v>358</v>
      </c>
      <c r="H88" s="1" t="s">
        <v>359</v>
      </c>
      <c r="J88" s="1" t="s">
        <v>443</v>
      </c>
      <c r="K88" s="1" t="n">
        <f aca="false">IF(Search!$D$5="",0,IF(AND(OR(Search!$N$5="",ISNUMBER(SEARCH(Search!$N$5,J88))),OR(Search!$N$6="",ISNUMBER(SEARCH(Search!$N$6,J88))),OR(Search!$N$7="",ISNUMBER(SEARCH(Search!$N$7,J88))),OR(Search!$N$8="",ISNUMBER(SEARCH(Search!$N$8,J88)))),1,0))</f>
        <v>0</v>
      </c>
      <c r="L88" s="1" t="n">
        <f aca="false">L87+K88</f>
        <v>0</v>
      </c>
    </row>
    <row r="89" customFormat="false" ht="15" hidden="false" customHeight="true" outlineLevel="0" collapsed="false">
      <c r="A89" s="1" t="s">
        <v>21</v>
      </c>
      <c r="B89" s="1" t="s">
        <v>355</v>
      </c>
      <c r="C89" s="1" t="n">
        <v>6</v>
      </c>
      <c r="E89" s="1" t="s">
        <v>395</v>
      </c>
      <c r="F89" s="1" t="s">
        <v>444</v>
      </c>
      <c r="G89" s="1" t="s">
        <v>445</v>
      </c>
      <c r="H89" s="1" t="s">
        <v>444</v>
      </c>
      <c r="I89" s="1" t="s">
        <v>445</v>
      </c>
      <c r="J89" s="1" t="s">
        <v>446</v>
      </c>
      <c r="K89" s="1" t="n">
        <f aca="false">IF(Search!$D$5="",0,IF(AND(OR(Search!$N$5="",ISNUMBER(SEARCH(Search!$N$5,J89))),OR(Search!$N$6="",ISNUMBER(SEARCH(Search!$N$6,J89))),OR(Search!$N$7="",ISNUMBER(SEARCH(Search!$N$7,J89))),OR(Search!$N$8="",ISNUMBER(SEARCH(Search!$N$8,J89)))),1,0))</f>
        <v>0</v>
      </c>
      <c r="L89" s="1" t="n">
        <f aca="false">L88+K89</f>
        <v>0</v>
      </c>
    </row>
    <row r="90" customFormat="false" ht="15" hidden="false" customHeight="true" outlineLevel="0" collapsed="false">
      <c r="A90" s="1" t="s">
        <v>21</v>
      </c>
      <c r="B90" s="1" t="s">
        <v>355</v>
      </c>
      <c r="C90" s="1" t="n">
        <v>7</v>
      </c>
      <c r="E90" s="1" t="s">
        <v>398</v>
      </c>
      <c r="F90" s="1" t="s">
        <v>423</v>
      </c>
      <c r="G90" s="1" t="s">
        <v>447</v>
      </c>
      <c r="H90" s="1" t="s">
        <v>448</v>
      </c>
      <c r="I90" s="1" t="s">
        <v>449</v>
      </c>
      <c r="J90" s="1" t="s">
        <v>450</v>
      </c>
      <c r="K90" s="1" t="n">
        <f aca="false">IF(Search!$D$5="",0,IF(AND(OR(Search!$N$5="",ISNUMBER(SEARCH(Search!$N$5,J90))),OR(Search!$N$6="",ISNUMBER(SEARCH(Search!$N$6,J90))),OR(Search!$N$7="",ISNUMBER(SEARCH(Search!$N$7,J90))),OR(Search!$N$8="",ISNUMBER(SEARCH(Search!$N$8,J90)))),1,0))</f>
        <v>0</v>
      </c>
      <c r="L90" s="1" t="n">
        <f aca="false">L89+K90</f>
        <v>0</v>
      </c>
    </row>
    <row r="91" customFormat="false" ht="15" hidden="false" customHeight="true" outlineLevel="0" collapsed="false">
      <c r="A91" s="1" t="s">
        <v>21</v>
      </c>
      <c r="B91" s="1" t="s">
        <v>355</v>
      </c>
      <c r="C91" s="1" t="n">
        <v>8</v>
      </c>
      <c r="E91" s="1" t="s">
        <v>404</v>
      </c>
      <c r="F91" s="1" t="s">
        <v>423</v>
      </c>
      <c r="G91" s="1" t="s">
        <v>447</v>
      </c>
      <c r="H91" s="1" t="s">
        <v>448</v>
      </c>
      <c r="I91" s="1" t="s">
        <v>449</v>
      </c>
      <c r="J91" s="1" t="s">
        <v>451</v>
      </c>
      <c r="K91" s="1" t="n">
        <f aca="false">IF(Search!$D$5="",0,IF(AND(OR(Search!$N$5="",ISNUMBER(SEARCH(Search!$N$5,J91))),OR(Search!$N$6="",ISNUMBER(SEARCH(Search!$N$6,J91))),OR(Search!$N$7="",ISNUMBER(SEARCH(Search!$N$7,J91))),OR(Search!$N$8="",ISNUMBER(SEARCH(Search!$N$8,J91)))),1,0))</f>
        <v>0</v>
      </c>
      <c r="L91" s="1" t="n">
        <f aca="false">L90+K91</f>
        <v>0</v>
      </c>
    </row>
    <row r="92" customFormat="false" ht="15" hidden="false" customHeight="true" outlineLevel="0" collapsed="false">
      <c r="A92" s="1" t="s">
        <v>21</v>
      </c>
      <c r="B92" s="1" t="s">
        <v>355</v>
      </c>
      <c r="C92" s="1" t="n">
        <v>9</v>
      </c>
      <c r="E92" s="1" t="s">
        <v>410</v>
      </c>
      <c r="F92" s="1" t="s">
        <v>423</v>
      </c>
      <c r="G92" s="1" t="s">
        <v>447</v>
      </c>
      <c r="H92" s="1" t="s">
        <v>408</v>
      </c>
      <c r="I92" s="1" t="s">
        <v>452</v>
      </c>
      <c r="J92" s="1" t="s">
        <v>453</v>
      </c>
      <c r="K92" s="1" t="n">
        <f aca="false">IF(Search!$D$5="",0,IF(AND(OR(Search!$N$5="",ISNUMBER(SEARCH(Search!$N$5,J92))),OR(Search!$N$6="",ISNUMBER(SEARCH(Search!$N$6,J92))),OR(Search!$N$7="",ISNUMBER(SEARCH(Search!$N$7,J92))),OR(Search!$N$8="",ISNUMBER(SEARCH(Search!$N$8,J92)))),1,0))</f>
        <v>0</v>
      </c>
      <c r="L92" s="1" t="n">
        <f aca="false">L91+K92</f>
        <v>0</v>
      </c>
    </row>
    <row r="93" customFormat="false" ht="15" hidden="false" customHeight="true" outlineLevel="0" collapsed="false">
      <c r="A93" s="1" t="s">
        <v>21</v>
      </c>
      <c r="B93" s="1" t="s">
        <v>355</v>
      </c>
      <c r="C93" s="1" t="n">
        <v>10</v>
      </c>
      <c r="E93" s="1" t="s">
        <v>416</v>
      </c>
      <c r="F93" s="1" t="s">
        <v>423</v>
      </c>
      <c r="G93" s="1" t="s">
        <v>447</v>
      </c>
      <c r="H93" s="1" t="s">
        <v>408</v>
      </c>
      <c r="I93" s="1" t="s">
        <v>452</v>
      </c>
      <c r="J93" s="1" t="s">
        <v>454</v>
      </c>
      <c r="K93" s="1" t="n">
        <f aca="false">IF(Search!$D$5="",0,IF(AND(OR(Search!$N$5="",ISNUMBER(SEARCH(Search!$N$5,J93))),OR(Search!$N$6="",ISNUMBER(SEARCH(Search!$N$6,J93))),OR(Search!$N$7="",ISNUMBER(SEARCH(Search!$N$7,J93))),OR(Search!$N$8="",ISNUMBER(SEARCH(Search!$N$8,J93)))),1,0))</f>
        <v>0</v>
      </c>
      <c r="L93" s="1" t="n">
        <f aca="false">L92+K93</f>
        <v>0</v>
      </c>
    </row>
    <row r="94" customFormat="false" ht="15" hidden="false" customHeight="true" outlineLevel="0" collapsed="false">
      <c r="A94" s="1" t="s">
        <v>21</v>
      </c>
      <c r="B94" s="1" t="s">
        <v>355</v>
      </c>
      <c r="C94" s="1" t="n">
        <v>11</v>
      </c>
      <c r="E94" s="1" t="s">
        <v>421</v>
      </c>
      <c r="F94" s="1" t="s">
        <v>423</v>
      </c>
      <c r="G94" s="1" t="s">
        <v>447</v>
      </c>
      <c r="H94" s="1" t="s">
        <v>455</v>
      </c>
      <c r="I94" s="1" t="s">
        <v>452</v>
      </c>
      <c r="J94" s="1" t="s">
        <v>456</v>
      </c>
      <c r="K94" s="1" t="n">
        <f aca="false">IF(Search!$D$5="",0,IF(AND(OR(Search!$N$5="",ISNUMBER(SEARCH(Search!$N$5,J94))),OR(Search!$N$6="",ISNUMBER(SEARCH(Search!$N$6,J94))),OR(Search!$N$7="",ISNUMBER(SEARCH(Search!$N$7,J94))),OR(Search!$N$8="",ISNUMBER(SEARCH(Search!$N$8,J94)))),1,0))</f>
        <v>0</v>
      </c>
      <c r="L94" s="1" t="n">
        <f aca="false">L93+K94</f>
        <v>0</v>
      </c>
    </row>
    <row r="95" customFormat="false" ht="15" hidden="false" customHeight="true" outlineLevel="0" collapsed="false">
      <c r="A95" s="1" t="s">
        <v>21</v>
      </c>
      <c r="B95" s="1" t="s">
        <v>355</v>
      </c>
      <c r="C95" s="1" t="n">
        <v>12</v>
      </c>
      <c r="E95" s="1" t="s">
        <v>425</v>
      </c>
      <c r="F95" s="1" t="s">
        <v>457</v>
      </c>
      <c r="G95" s="1" t="s">
        <v>458</v>
      </c>
      <c r="H95" s="1" t="s">
        <v>455</v>
      </c>
      <c r="I95" s="1" t="s">
        <v>459</v>
      </c>
      <c r="J95" s="1" t="s">
        <v>460</v>
      </c>
      <c r="K95" s="1" t="n">
        <f aca="false">IF(Search!$D$5="",0,IF(AND(OR(Search!$N$5="",ISNUMBER(SEARCH(Search!$N$5,J95))),OR(Search!$N$6="",ISNUMBER(SEARCH(Search!$N$6,J95))),OR(Search!$N$7="",ISNUMBER(SEARCH(Search!$N$7,J95))),OR(Search!$N$8="",ISNUMBER(SEARCH(Search!$N$8,J95)))),1,0))</f>
        <v>0</v>
      </c>
      <c r="L95" s="1" t="n">
        <f aca="false">L94+K95</f>
        <v>0</v>
      </c>
    </row>
    <row r="96" customFormat="false" ht="15" hidden="false" customHeight="true" outlineLevel="0" collapsed="false">
      <c r="A96" s="1" t="s">
        <v>21</v>
      </c>
      <c r="B96" s="1" t="s">
        <v>355</v>
      </c>
      <c r="C96" s="1" t="n">
        <v>13</v>
      </c>
      <c r="E96" s="1" t="s">
        <v>430</v>
      </c>
      <c r="F96" s="1" t="s">
        <v>428</v>
      </c>
      <c r="G96" s="1" t="s">
        <v>461</v>
      </c>
      <c r="H96" s="1" t="s">
        <v>419</v>
      </c>
      <c r="I96" s="1" t="s">
        <v>459</v>
      </c>
      <c r="J96" s="1" t="s">
        <v>462</v>
      </c>
      <c r="K96" s="1" t="n">
        <f aca="false">IF(Search!$D$5="",0,IF(AND(OR(Search!$N$5="",ISNUMBER(SEARCH(Search!$N$5,J96))),OR(Search!$N$6="",ISNUMBER(SEARCH(Search!$N$6,J96))),OR(Search!$N$7="",ISNUMBER(SEARCH(Search!$N$7,J96))),OR(Search!$N$8="",ISNUMBER(SEARCH(Search!$N$8,J96)))),1,0))</f>
        <v>0</v>
      </c>
      <c r="L96" s="1" t="n">
        <f aca="false">L95+K96</f>
        <v>0</v>
      </c>
    </row>
    <row r="97" customFormat="false" ht="15" hidden="false" customHeight="true" outlineLevel="0" collapsed="false">
      <c r="A97" s="1" t="s">
        <v>21</v>
      </c>
      <c r="B97" s="1" t="s">
        <v>355</v>
      </c>
      <c r="C97" s="1" t="n">
        <v>14</v>
      </c>
      <c r="E97" s="1" t="s">
        <v>435</v>
      </c>
      <c r="F97" s="1" t="s">
        <v>463</v>
      </c>
      <c r="G97" s="1" t="s">
        <v>464</v>
      </c>
      <c r="H97" s="1" t="s">
        <v>423</v>
      </c>
      <c r="I97" s="1" t="s">
        <v>447</v>
      </c>
      <c r="J97" s="1" t="s">
        <v>465</v>
      </c>
      <c r="K97" s="1" t="n">
        <f aca="false">IF(Search!$D$5="",0,IF(AND(OR(Search!$N$5="",ISNUMBER(SEARCH(Search!$N$5,J97))),OR(Search!$N$6="",ISNUMBER(SEARCH(Search!$N$6,J97))),OR(Search!$N$7="",ISNUMBER(SEARCH(Search!$N$7,J97))),OR(Search!$N$8="",ISNUMBER(SEARCH(Search!$N$8,J97)))),1,0))</f>
        <v>0</v>
      </c>
      <c r="L97" s="1" t="n">
        <f aca="false">L96+K97</f>
        <v>0</v>
      </c>
    </row>
    <row r="98" customFormat="false" ht="15" hidden="false" customHeight="true" outlineLevel="0" collapsed="false">
      <c r="A98" s="1" t="s">
        <v>21</v>
      </c>
      <c r="B98" s="1" t="s">
        <v>355</v>
      </c>
      <c r="C98" s="1" t="n">
        <v>16</v>
      </c>
      <c r="E98" s="1" t="s">
        <v>466</v>
      </c>
      <c r="J98" s="1" t="s">
        <v>466</v>
      </c>
      <c r="K98" s="1" t="n">
        <f aca="false">IF(Search!$D$5="",0,IF(AND(OR(Search!$N$5="",ISNUMBER(SEARCH(Search!$N$5,J98))),OR(Search!$N$6="",ISNUMBER(SEARCH(Search!$N$6,J98))),OR(Search!$N$7="",ISNUMBER(SEARCH(Search!$N$7,J98))),OR(Search!$N$8="",ISNUMBER(SEARCH(Search!$N$8,J98)))),1,0))</f>
        <v>0</v>
      </c>
      <c r="L98" s="1" t="n">
        <f aca="false">L97+K98</f>
        <v>0</v>
      </c>
    </row>
    <row r="99" customFormat="false" ht="15" hidden="false" customHeight="true" outlineLevel="0" collapsed="false">
      <c r="A99" s="1" t="s">
        <v>22</v>
      </c>
      <c r="B99" s="1" t="s">
        <v>355</v>
      </c>
      <c r="C99" s="1" t="n">
        <v>2</v>
      </c>
      <c r="E99" s="1" t="s">
        <v>467</v>
      </c>
      <c r="J99" s="1" t="s">
        <v>467</v>
      </c>
      <c r="K99" s="1" t="n">
        <f aca="false">IF(Search!$D$5="",0,IF(AND(OR(Search!$N$5="",ISNUMBER(SEARCH(Search!$N$5,J99))),OR(Search!$N$6="",ISNUMBER(SEARCH(Search!$N$6,J99))),OR(Search!$N$7="",ISNUMBER(SEARCH(Search!$N$7,J99))),OR(Search!$N$8="",ISNUMBER(SEARCH(Search!$N$8,J99)))),1,0))</f>
        <v>0</v>
      </c>
      <c r="L99" s="1" t="n">
        <f aca="false">L98+K99</f>
        <v>0</v>
      </c>
    </row>
    <row r="100" customFormat="false" ht="15" hidden="false" customHeight="true" outlineLevel="0" collapsed="false">
      <c r="A100" s="1" t="s">
        <v>22</v>
      </c>
      <c r="B100" s="1" t="s">
        <v>355</v>
      </c>
      <c r="C100" s="1" t="n">
        <v>3</v>
      </c>
      <c r="E100" s="1" t="s">
        <v>468</v>
      </c>
      <c r="J100" s="1" t="s">
        <v>468</v>
      </c>
      <c r="K100" s="1" t="n">
        <f aca="false">IF(Search!$D$5="",0,IF(AND(OR(Search!$N$5="",ISNUMBER(SEARCH(Search!$N$5,J100))),OR(Search!$N$6="",ISNUMBER(SEARCH(Search!$N$6,J100))),OR(Search!$N$7="",ISNUMBER(SEARCH(Search!$N$7,J100))),OR(Search!$N$8="",ISNUMBER(SEARCH(Search!$N$8,J100)))),1,0))</f>
        <v>0</v>
      </c>
      <c r="L100" s="1" t="n">
        <f aca="false">L99+K100</f>
        <v>0</v>
      </c>
    </row>
    <row r="101" customFormat="false" ht="15" hidden="false" customHeight="true" outlineLevel="0" collapsed="false">
      <c r="A101" s="1" t="s">
        <v>22</v>
      </c>
      <c r="B101" s="1" t="s">
        <v>355</v>
      </c>
      <c r="C101" s="1" t="n">
        <v>5</v>
      </c>
      <c r="E101" s="1" t="s">
        <v>469</v>
      </c>
      <c r="J101" s="1" t="s">
        <v>469</v>
      </c>
      <c r="K101" s="1" t="n">
        <f aca="false">IF(Search!$D$5="",0,IF(AND(OR(Search!$N$5="",ISNUMBER(SEARCH(Search!$N$5,J101))),OR(Search!$N$6="",ISNUMBER(SEARCH(Search!$N$6,J101))),OR(Search!$N$7="",ISNUMBER(SEARCH(Search!$N$7,J101))),OR(Search!$N$8="",ISNUMBER(SEARCH(Search!$N$8,J101)))),1,0))</f>
        <v>0</v>
      </c>
      <c r="L101" s="1" t="n">
        <f aca="false">L100+K101</f>
        <v>0</v>
      </c>
    </row>
    <row r="102" customFormat="false" ht="15" hidden="false" customHeight="true" outlineLevel="0" collapsed="false">
      <c r="A102" s="1" t="s">
        <v>22</v>
      </c>
      <c r="B102" s="1" t="s">
        <v>355</v>
      </c>
      <c r="C102" s="1" t="n">
        <v>6</v>
      </c>
      <c r="E102" s="1" t="s">
        <v>470</v>
      </c>
      <c r="F102" s="1" t="s">
        <v>471</v>
      </c>
      <c r="G102" s="1" t="s">
        <v>472</v>
      </c>
      <c r="H102" s="1" t="s">
        <v>473</v>
      </c>
      <c r="I102" s="1" t="s">
        <v>474</v>
      </c>
      <c r="J102" s="1" t="s">
        <v>475</v>
      </c>
      <c r="K102" s="1" t="n">
        <f aca="false">IF(Search!$D$5="",0,IF(AND(OR(Search!$N$5="",ISNUMBER(SEARCH(Search!$N$5,J102))),OR(Search!$N$6="",ISNUMBER(SEARCH(Search!$N$6,J102))),OR(Search!$N$7="",ISNUMBER(SEARCH(Search!$N$7,J102))),OR(Search!$N$8="",ISNUMBER(SEARCH(Search!$N$8,J102)))),1,0))</f>
        <v>0</v>
      </c>
      <c r="L102" s="1" t="n">
        <f aca="false">L101+K102</f>
        <v>0</v>
      </c>
    </row>
    <row r="103" customFormat="false" ht="15" hidden="false" customHeight="true" outlineLevel="0" collapsed="false">
      <c r="A103" s="1" t="s">
        <v>22</v>
      </c>
      <c r="B103" s="1" t="s">
        <v>355</v>
      </c>
      <c r="C103" s="1" t="n">
        <v>7</v>
      </c>
      <c r="E103" s="1" t="s">
        <v>476</v>
      </c>
      <c r="F103" s="1" t="s">
        <v>477</v>
      </c>
      <c r="G103" s="1" t="s">
        <v>478</v>
      </c>
      <c r="H103" s="1" t="s">
        <v>479</v>
      </c>
      <c r="I103" s="1" t="s">
        <v>480</v>
      </c>
      <c r="J103" s="1" t="s">
        <v>481</v>
      </c>
      <c r="K103" s="1" t="n">
        <f aca="false">IF(Search!$D$5="",0,IF(AND(OR(Search!$N$5="",ISNUMBER(SEARCH(Search!$N$5,J103))),OR(Search!$N$6="",ISNUMBER(SEARCH(Search!$N$6,J103))),OR(Search!$N$7="",ISNUMBER(SEARCH(Search!$N$7,J103))),OR(Search!$N$8="",ISNUMBER(SEARCH(Search!$N$8,J103)))),1,0))</f>
        <v>0</v>
      </c>
      <c r="L103" s="1" t="n">
        <f aca="false">L102+K103</f>
        <v>0</v>
      </c>
    </row>
    <row r="104" customFormat="false" ht="15" hidden="false" customHeight="true" outlineLevel="0" collapsed="false">
      <c r="A104" s="1" t="s">
        <v>22</v>
      </c>
      <c r="B104" s="1" t="s">
        <v>355</v>
      </c>
      <c r="C104" s="1" t="n">
        <v>8</v>
      </c>
      <c r="E104" s="1" t="s">
        <v>482</v>
      </c>
      <c r="F104" s="1" t="s">
        <v>483</v>
      </c>
      <c r="G104" s="1" t="s">
        <v>478</v>
      </c>
      <c r="H104" s="1" t="s">
        <v>484</v>
      </c>
      <c r="I104" s="1" t="s">
        <v>485</v>
      </c>
      <c r="J104" s="1" t="s">
        <v>486</v>
      </c>
      <c r="K104" s="1" t="n">
        <f aca="false">IF(Search!$D$5="",0,IF(AND(OR(Search!$N$5="",ISNUMBER(SEARCH(Search!$N$5,J104))),OR(Search!$N$6="",ISNUMBER(SEARCH(Search!$N$6,J104))),OR(Search!$N$7="",ISNUMBER(SEARCH(Search!$N$7,J104))),OR(Search!$N$8="",ISNUMBER(SEARCH(Search!$N$8,J104)))),1,0))</f>
        <v>0</v>
      </c>
      <c r="L104" s="1" t="n">
        <f aca="false">L103+K104</f>
        <v>0</v>
      </c>
    </row>
    <row r="105" customFormat="false" ht="15" hidden="false" customHeight="true" outlineLevel="0" collapsed="false">
      <c r="A105" s="1" t="s">
        <v>22</v>
      </c>
      <c r="B105" s="1" t="s">
        <v>355</v>
      </c>
      <c r="C105" s="1" t="n">
        <v>9</v>
      </c>
      <c r="E105" s="1" t="s">
        <v>487</v>
      </c>
      <c r="F105" s="1" t="s">
        <v>488</v>
      </c>
      <c r="G105" s="1" t="s">
        <v>478</v>
      </c>
      <c r="H105" s="1" t="s">
        <v>489</v>
      </c>
      <c r="I105" s="1" t="s">
        <v>485</v>
      </c>
      <c r="J105" s="1" t="s">
        <v>490</v>
      </c>
      <c r="K105" s="1" t="n">
        <f aca="false">IF(Search!$D$5="",0,IF(AND(OR(Search!$N$5="",ISNUMBER(SEARCH(Search!$N$5,J105))),OR(Search!$N$6="",ISNUMBER(SEARCH(Search!$N$6,J105))),OR(Search!$N$7="",ISNUMBER(SEARCH(Search!$N$7,J105))),OR(Search!$N$8="",ISNUMBER(SEARCH(Search!$N$8,J105)))),1,0))</f>
        <v>0</v>
      </c>
      <c r="L105" s="1" t="n">
        <f aca="false">L104+K105</f>
        <v>0</v>
      </c>
    </row>
    <row r="106" customFormat="false" ht="15" hidden="false" customHeight="true" outlineLevel="0" collapsed="false">
      <c r="A106" s="1" t="s">
        <v>22</v>
      </c>
      <c r="B106" s="1" t="s">
        <v>355</v>
      </c>
      <c r="C106" s="1" t="n">
        <v>10</v>
      </c>
      <c r="E106" s="1" t="s">
        <v>491</v>
      </c>
      <c r="F106" s="1" t="s">
        <v>488</v>
      </c>
      <c r="G106" s="1" t="s">
        <v>492</v>
      </c>
      <c r="H106" s="1" t="s">
        <v>493</v>
      </c>
      <c r="I106" s="1" t="s">
        <v>494</v>
      </c>
      <c r="J106" s="1" t="s">
        <v>495</v>
      </c>
      <c r="K106" s="1" t="n">
        <f aca="false">IF(Search!$D$5="",0,IF(AND(OR(Search!$N$5="",ISNUMBER(SEARCH(Search!$N$5,J106))),OR(Search!$N$6="",ISNUMBER(SEARCH(Search!$N$6,J106))),OR(Search!$N$7="",ISNUMBER(SEARCH(Search!$N$7,J106))),OR(Search!$N$8="",ISNUMBER(SEARCH(Search!$N$8,J106)))),1,0))</f>
        <v>0</v>
      </c>
      <c r="L106" s="1" t="n">
        <f aca="false">L105+K106</f>
        <v>0</v>
      </c>
    </row>
    <row r="107" customFormat="false" ht="15" hidden="false" customHeight="true" outlineLevel="0" collapsed="false">
      <c r="A107" s="1" t="s">
        <v>22</v>
      </c>
      <c r="B107" s="1" t="s">
        <v>355</v>
      </c>
      <c r="C107" s="1" t="n">
        <v>11</v>
      </c>
      <c r="E107" s="1" t="s">
        <v>496</v>
      </c>
      <c r="F107" s="1" t="s">
        <v>488</v>
      </c>
      <c r="G107" s="1" t="s">
        <v>478</v>
      </c>
      <c r="H107" s="1" t="s">
        <v>497</v>
      </c>
      <c r="I107" s="1" t="s">
        <v>498</v>
      </c>
      <c r="J107" s="1" t="s">
        <v>499</v>
      </c>
      <c r="K107" s="1" t="n">
        <f aca="false">IF(Search!$D$5="",0,IF(AND(OR(Search!$N$5="",ISNUMBER(SEARCH(Search!$N$5,J107))),OR(Search!$N$6="",ISNUMBER(SEARCH(Search!$N$6,J107))),OR(Search!$N$7="",ISNUMBER(SEARCH(Search!$N$7,J107))),OR(Search!$N$8="",ISNUMBER(SEARCH(Search!$N$8,J107)))),1,0))</f>
        <v>0</v>
      </c>
      <c r="L107" s="1" t="n">
        <f aca="false">L106+K107</f>
        <v>0</v>
      </c>
    </row>
    <row r="108" customFormat="false" ht="15" hidden="false" customHeight="true" outlineLevel="0" collapsed="false">
      <c r="A108" s="1" t="s">
        <v>22</v>
      </c>
      <c r="B108" s="1" t="s">
        <v>355</v>
      </c>
      <c r="C108" s="1" t="n">
        <v>12</v>
      </c>
      <c r="E108" s="1" t="s">
        <v>500</v>
      </c>
      <c r="F108" s="1" t="s">
        <v>501</v>
      </c>
      <c r="G108" s="1" t="s">
        <v>478</v>
      </c>
      <c r="H108" s="1" t="s">
        <v>502</v>
      </c>
      <c r="I108" s="1" t="s">
        <v>498</v>
      </c>
      <c r="J108" s="1" t="s">
        <v>503</v>
      </c>
      <c r="K108" s="1" t="n">
        <f aca="false">IF(Search!$D$5="",0,IF(AND(OR(Search!$N$5="",ISNUMBER(SEARCH(Search!$N$5,J108))),OR(Search!$N$6="",ISNUMBER(SEARCH(Search!$N$6,J108))),OR(Search!$N$7="",ISNUMBER(SEARCH(Search!$N$7,J108))),OR(Search!$N$8="",ISNUMBER(SEARCH(Search!$N$8,J108)))),1,0))</f>
        <v>0</v>
      </c>
      <c r="L108" s="1" t="n">
        <f aca="false">L107+K108</f>
        <v>0</v>
      </c>
    </row>
    <row r="109" customFormat="false" ht="15" hidden="false" customHeight="true" outlineLevel="0" collapsed="false">
      <c r="A109" s="1" t="s">
        <v>22</v>
      </c>
      <c r="B109" s="1" t="s">
        <v>355</v>
      </c>
      <c r="C109" s="1" t="n">
        <v>13</v>
      </c>
      <c r="E109" s="1" t="s">
        <v>504</v>
      </c>
      <c r="F109" s="1" t="s">
        <v>488</v>
      </c>
      <c r="G109" s="1" t="s">
        <v>478</v>
      </c>
      <c r="H109" s="1" t="s">
        <v>505</v>
      </c>
      <c r="I109" s="1" t="s">
        <v>506</v>
      </c>
      <c r="J109" s="1" t="s">
        <v>507</v>
      </c>
      <c r="K109" s="1" t="n">
        <f aca="false">IF(Search!$D$5="",0,IF(AND(OR(Search!$N$5="",ISNUMBER(SEARCH(Search!$N$5,J109))),OR(Search!$N$6="",ISNUMBER(SEARCH(Search!$N$6,J109))),OR(Search!$N$7="",ISNUMBER(SEARCH(Search!$N$7,J109))),OR(Search!$N$8="",ISNUMBER(SEARCH(Search!$N$8,J109)))),1,0))</f>
        <v>0</v>
      </c>
      <c r="L109" s="1" t="n">
        <f aca="false">L108+K109</f>
        <v>0</v>
      </c>
    </row>
    <row r="110" customFormat="false" ht="15" hidden="false" customHeight="true" outlineLevel="0" collapsed="false">
      <c r="A110" s="1" t="s">
        <v>22</v>
      </c>
      <c r="B110" s="1" t="s">
        <v>355</v>
      </c>
      <c r="C110" s="1" t="n">
        <v>14</v>
      </c>
      <c r="E110" s="1" t="s">
        <v>508</v>
      </c>
      <c r="F110" s="1" t="s">
        <v>509</v>
      </c>
      <c r="G110" s="1" t="s">
        <v>478</v>
      </c>
      <c r="H110" s="1" t="s">
        <v>510</v>
      </c>
      <c r="I110" s="1" t="s">
        <v>506</v>
      </c>
      <c r="J110" s="1" t="s">
        <v>511</v>
      </c>
      <c r="K110" s="1" t="n">
        <f aca="false">IF(Search!$D$5="",0,IF(AND(OR(Search!$N$5="",ISNUMBER(SEARCH(Search!$N$5,J110))),OR(Search!$N$6="",ISNUMBER(SEARCH(Search!$N$6,J110))),OR(Search!$N$7="",ISNUMBER(SEARCH(Search!$N$7,J110))),OR(Search!$N$8="",ISNUMBER(SEARCH(Search!$N$8,J110)))),1,0))</f>
        <v>0</v>
      </c>
      <c r="L110" s="1" t="n">
        <f aca="false">L109+K110</f>
        <v>0</v>
      </c>
    </row>
    <row r="111" customFormat="false" ht="15" hidden="false" customHeight="true" outlineLevel="0" collapsed="false">
      <c r="A111" s="1" t="s">
        <v>22</v>
      </c>
      <c r="B111" s="1" t="s">
        <v>355</v>
      </c>
      <c r="C111" s="1" t="n">
        <v>15</v>
      </c>
      <c r="E111" s="1" t="s">
        <v>512</v>
      </c>
      <c r="F111" s="1" t="s">
        <v>513</v>
      </c>
      <c r="G111" s="1" t="s">
        <v>478</v>
      </c>
      <c r="H111" s="1" t="s">
        <v>514</v>
      </c>
      <c r="I111" s="1" t="s">
        <v>506</v>
      </c>
      <c r="J111" s="1" t="s">
        <v>515</v>
      </c>
      <c r="K111" s="1" t="n">
        <f aca="false">IF(Search!$D$5="",0,IF(AND(OR(Search!$N$5="",ISNUMBER(SEARCH(Search!$N$5,J111))),OR(Search!$N$6="",ISNUMBER(SEARCH(Search!$N$6,J111))),OR(Search!$N$7="",ISNUMBER(SEARCH(Search!$N$7,J111))),OR(Search!$N$8="",ISNUMBER(SEARCH(Search!$N$8,J111)))),1,0))</f>
        <v>0</v>
      </c>
      <c r="L111" s="1" t="n">
        <f aca="false">L110+K111</f>
        <v>0</v>
      </c>
    </row>
    <row r="112" customFormat="false" ht="15" hidden="false" customHeight="true" outlineLevel="0" collapsed="false">
      <c r="A112" s="1" t="s">
        <v>22</v>
      </c>
      <c r="B112" s="1" t="s">
        <v>355</v>
      </c>
      <c r="C112" s="1" t="n">
        <v>18</v>
      </c>
      <c r="E112" s="1" t="s">
        <v>516</v>
      </c>
      <c r="J112" s="1" t="s">
        <v>516</v>
      </c>
      <c r="K112" s="1" t="n">
        <f aca="false">IF(Search!$D$5="",0,IF(AND(OR(Search!$N$5="",ISNUMBER(SEARCH(Search!$N$5,J112))),OR(Search!$N$6="",ISNUMBER(SEARCH(Search!$N$6,J112))),OR(Search!$N$7="",ISNUMBER(SEARCH(Search!$N$7,J112))),OR(Search!$N$8="",ISNUMBER(SEARCH(Search!$N$8,J112)))),1,0))</f>
        <v>0</v>
      </c>
      <c r="L112" s="1" t="n">
        <f aca="false">L111+K112</f>
        <v>0</v>
      </c>
    </row>
    <row r="113" customFormat="false" ht="15" hidden="false" customHeight="true" outlineLevel="0" collapsed="false">
      <c r="A113" s="1" t="s">
        <v>22</v>
      </c>
      <c r="B113" s="1" t="s">
        <v>355</v>
      </c>
      <c r="C113" s="1" t="n">
        <v>19</v>
      </c>
      <c r="E113" s="1" t="s">
        <v>470</v>
      </c>
      <c r="F113" s="1" t="s">
        <v>517</v>
      </c>
      <c r="G113" s="1" t="s">
        <v>518</v>
      </c>
      <c r="H113" s="1" t="s">
        <v>358</v>
      </c>
      <c r="I113" s="1" t="s">
        <v>359</v>
      </c>
      <c r="J113" s="1" t="s">
        <v>519</v>
      </c>
      <c r="K113" s="1" t="n">
        <f aca="false">IF(Search!$D$5="",0,IF(AND(OR(Search!$N$5="",ISNUMBER(SEARCH(Search!$N$5,J113))),OR(Search!$N$6="",ISNUMBER(SEARCH(Search!$N$6,J113))),OR(Search!$N$7="",ISNUMBER(SEARCH(Search!$N$7,J113))),OR(Search!$N$8="",ISNUMBER(SEARCH(Search!$N$8,J113)))),1,0))</f>
        <v>0</v>
      </c>
      <c r="L113" s="1" t="n">
        <f aca="false">L112+K113</f>
        <v>0</v>
      </c>
    </row>
    <row r="114" customFormat="false" ht="15" hidden="false" customHeight="true" outlineLevel="0" collapsed="false">
      <c r="A114" s="1" t="s">
        <v>22</v>
      </c>
      <c r="B114" s="1" t="s">
        <v>355</v>
      </c>
      <c r="C114" s="1" t="n">
        <v>20</v>
      </c>
      <c r="E114" s="1" t="s">
        <v>476</v>
      </c>
      <c r="F114" s="1" t="s">
        <v>477</v>
      </c>
      <c r="G114" s="1" t="s">
        <v>478</v>
      </c>
      <c r="H114" s="1" t="s">
        <v>520</v>
      </c>
      <c r="I114" s="1" t="s">
        <v>520</v>
      </c>
      <c r="J114" s="1" t="s">
        <v>521</v>
      </c>
      <c r="K114" s="1" t="n">
        <f aca="false">IF(Search!$D$5="",0,IF(AND(OR(Search!$N$5="",ISNUMBER(SEARCH(Search!$N$5,J114))),OR(Search!$N$6="",ISNUMBER(SEARCH(Search!$N$6,J114))),OR(Search!$N$7="",ISNUMBER(SEARCH(Search!$N$7,J114))),OR(Search!$N$8="",ISNUMBER(SEARCH(Search!$N$8,J114)))),1,0))</f>
        <v>0</v>
      </c>
      <c r="L114" s="1" t="n">
        <f aca="false">L113+K114</f>
        <v>0</v>
      </c>
    </row>
    <row r="115" customFormat="false" ht="15" hidden="false" customHeight="true" outlineLevel="0" collapsed="false">
      <c r="A115" s="1" t="s">
        <v>22</v>
      </c>
      <c r="B115" s="1" t="s">
        <v>355</v>
      </c>
      <c r="C115" s="1" t="n">
        <v>21</v>
      </c>
      <c r="E115" s="1" t="s">
        <v>482</v>
      </c>
      <c r="F115" s="1" t="s">
        <v>483</v>
      </c>
      <c r="G115" s="1" t="s">
        <v>478</v>
      </c>
      <c r="H115" s="1" t="s">
        <v>520</v>
      </c>
      <c r="I115" s="1" t="s">
        <v>520</v>
      </c>
      <c r="J115" s="1" t="s">
        <v>522</v>
      </c>
      <c r="K115" s="1" t="n">
        <f aca="false">IF(Search!$D$5="",0,IF(AND(OR(Search!$N$5="",ISNUMBER(SEARCH(Search!$N$5,J115))),OR(Search!$N$6="",ISNUMBER(SEARCH(Search!$N$6,J115))),OR(Search!$N$7="",ISNUMBER(SEARCH(Search!$N$7,J115))),OR(Search!$N$8="",ISNUMBER(SEARCH(Search!$N$8,J115)))),1,0))</f>
        <v>0</v>
      </c>
      <c r="L115" s="1" t="n">
        <f aca="false">L114+K115</f>
        <v>0</v>
      </c>
    </row>
    <row r="116" customFormat="false" ht="15" hidden="false" customHeight="true" outlineLevel="0" collapsed="false">
      <c r="A116" s="1" t="s">
        <v>22</v>
      </c>
      <c r="B116" s="1" t="s">
        <v>355</v>
      </c>
      <c r="C116" s="1" t="n">
        <v>22</v>
      </c>
      <c r="E116" s="1" t="s">
        <v>487</v>
      </c>
      <c r="F116" s="1" t="s">
        <v>488</v>
      </c>
      <c r="G116" s="1" t="s">
        <v>478</v>
      </c>
      <c r="H116" s="1" t="s">
        <v>520</v>
      </c>
      <c r="I116" s="1" t="s">
        <v>520</v>
      </c>
      <c r="J116" s="1" t="s">
        <v>523</v>
      </c>
      <c r="K116" s="1" t="n">
        <f aca="false">IF(Search!$D$5="",0,IF(AND(OR(Search!$N$5="",ISNUMBER(SEARCH(Search!$N$5,J116))),OR(Search!$N$6="",ISNUMBER(SEARCH(Search!$N$6,J116))),OR(Search!$N$7="",ISNUMBER(SEARCH(Search!$N$7,J116))),OR(Search!$N$8="",ISNUMBER(SEARCH(Search!$N$8,J116)))),1,0))</f>
        <v>0</v>
      </c>
      <c r="L116" s="1" t="n">
        <f aca="false">L115+K116</f>
        <v>0</v>
      </c>
    </row>
    <row r="117" customFormat="false" ht="15" hidden="false" customHeight="true" outlineLevel="0" collapsed="false">
      <c r="A117" s="1" t="s">
        <v>22</v>
      </c>
      <c r="B117" s="1" t="s">
        <v>355</v>
      </c>
      <c r="C117" s="1" t="n">
        <v>23</v>
      </c>
      <c r="E117" s="1" t="s">
        <v>491</v>
      </c>
      <c r="F117" s="1" t="s">
        <v>488</v>
      </c>
      <c r="G117" s="1" t="s">
        <v>492</v>
      </c>
      <c r="H117" s="1" t="s">
        <v>524</v>
      </c>
      <c r="I117" s="1" t="s">
        <v>524</v>
      </c>
      <c r="J117" s="1" t="s">
        <v>525</v>
      </c>
      <c r="K117" s="1" t="n">
        <f aca="false">IF(Search!$D$5="",0,IF(AND(OR(Search!$N$5="",ISNUMBER(SEARCH(Search!$N$5,J117))),OR(Search!$N$6="",ISNUMBER(SEARCH(Search!$N$6,J117))),OR(Search!$N$7="",ISNUMBER(SEARCH(Search!$N$7,J117))),OR(Search!$N$8="",ISNUMBER(SEARCH(Search!$N$8,J117)))),1,0))</f>
        <v>0</v>
      </c>
      <c r="L117" s="1" t="n">
        <f aca="false">L116+K117</f>
        <v>0</v>
      </c>
    </row>
    <row r="118" customFormat="false" ht="15" hidden="false" customHeight="true" outlineLevel="0" collapsed="false">
      <c r="A118" s="1" t="s">
        <v>22</v>
      </c>
      <c r="B118" s="1" t="s">
        <v>355</v>
      </c>
      <c r="C118" s="1" t="n">
        <v>24</v>
      </c>
      <c r="E118" s="1" t="s">
        <v>526</v>
      </c>
      <c r="F118" s="1" t="s">
        <v>488</v>
      </c>
      <c r="G118" s="1" t="s">
        <v>478</v>
      </c>
      <c r="H118" s="1" t="s">
        <v>524</v>
      </c>
      <c r="I118" s="1" t="s">
        <v>524</v>
      </c>
      <c r="J118" s="1" t="s">
        <v>527</v>
      </c>
      <c r="K118" s="1" t="n">
        <f aca="false">IF(Search!$D$5="",0,IF(AND(OR(Search!$N$5="",ISNUMBER(SEARCH(Search!$N$5,J118))),OR(Search!$N$6="",ISNUMBER(SEARCH(Search!$N$6,J118))),OR(Search!$N$7="",ISNUMBER(SEARCH(Search!$N$7,J118))),OR(Search!$N$8="",ISNUMBER(SEARCH(Search!$N$8,J118)))),1,0))</f>
        <v>0</v>
      </c>
      <c r="L118" s="1" t="n">
        <f aca="false">L117+K118</f>
        <v>0</v>
      </c>
    </row>
    <row r="119" customFormat="false" ht="15" hidden="false" customHeight="true" outlineLevel="0" collapsed="false">
      <c r="A119" s="1" t="s">
        <v>22</v>
      </c>
      <c r="B119" s="1" t="s">
        <v>355</v>
      </c>
      <c r="C119" s="1" t="n">
        <v>25</v>
      </c>
      <c r="E119" s="1" t="s">
        <v>500</v>
      </c>
      <c r="F119" s="1" t="s">
        <v>501</v>
      </c>
      <c r="G119" s="1" t="s">
        <v>478</v>
      </c>
      <c r="H119" s="1" t="s">
        <v>524</v>
      </c>
      <c r="I119" s="1" t="s">
        <v>524</v>
      </c>
      <c r="J119" s="1" t="s">
        <v>528</v>
      </c>
      <c r="K119" s="1" t="n">
        <f aca="false">IF(Search!$D$5="",0,IF(AND(OR(Search!$N$5="",ISNUMBER(SEARCH(Search!$N$5,J119))),OR(Search!$N$6="",ISNUMBER(SEARCH(Search!$N$6,J119))),OR(Search!$N$7="",ISNUMBER(SEARCH(Search!$N$7,J119))),OR(Search!$N$8="",ISNUMBER(SEARCH(Search!$N$8,J119)))),1,0))</f>
        <v>0</v>
      </c>
      <c r="L119" s="1" t="n">
        <f aca="false">L118+K119</f>
        <v>0</v>
      </c>
    </row>
    <row r="120" customFormat="false" ht="15" hidden="false" customHeight="true" outlineLevel="0" collapsed="false">
      <c r="A120" s="1" t="s">
        <v>22</v>
      </c>
      <c r="B120" s="1" t="s">
        <v>355</v>
      </c>
      <c r="C120" s="1" t="n">
        <v>26</v>
      </c>
      <c r="E120" s="1" t="s">
        <v>504</v>
      </c>
      <c r="F120" s="1" t="s">
        <v>488</v>
      </c>
      <c r="G120" s="1" t="s">
        <v>478</v>
      </c>
      <c r="H120" s="1" t="s">
        <v>524</v>
      </c>
      <c r="I120" s="1" t="s">
        <v>524</v>
      </c>
      <c r="J120" s="1" t="s">
        <v>529</v>
      </c>
      <c r="K120" s="1" t="n">
        <f aca="false">IF(Search!$D$5="",0,IF(AND(OR(Search!$N$5="",ISNUMBER(SEARCH(Search!$N$5,J120))),OR(Search!$N$6="",ISNUMBER(SEARCH(Search!$N$6,J120))),OR(Search!$N$7="",ISNUMBER(SEARCH(Search!$N$7,J120))),OR(Search!$N$8="",ISNUMBER(SEARCH(Search!$N$8,J120)))),1,0))</f>
        <v>0</v>
      </c>
      <c r="L120" s="1" t="n">
        <f aca="false">L119+K120</f>
        <v>0</v>
      </c>
    </row>
    <row r="121" customFormat="false" ht="15" hidden="false" customHeight="true" outlineLevel="0" collapsed="false">
      <c r="A121" s="1" t="s">
        <v>22</v>
      </c>
      <c r="B121" s="1" t="s">
        <v>355</v>
      </c>
      <c r="C121" s="1" t="n">
        <v>27</v>
      </c>
      <c r="E121" s="1" t="s">
        <v>508</v>
      </c>
      <c r="F121" s="1" t="s">
        <v>509</v>
      </c>
      <c r="G121" s="1" t="s">
        <v>478</v>
      </c>
      <c r="H121" s="1" t="s">
        <v>524</v>
      </c>
      <c r="I121" s="1" t="s">
        <v>524</v>
      </c>
      <c r="J121" s="1" t="s">
        <v>530</v>
      </c>
      <c r="K121" s="1" t="n">
        <f aca="false">IF(Search!$D$5="",0,IF(AND(OR(Search!$N$5="",ISNUMBER(SEARCH(Search!$N$5,J121))),OR(Search!$N$6="",ISNUMBER(SEARCH(Search!$N$6,J121))),OR(Search!$N$7="",ISNUMBER(SEARCH(Search!$N$7,J121))),OR(Search!$N$8="",ISNUMBER(SEARCH(Search!$N$8,J121)))),1,0))</f>
        <v>0</v>
      </c>
      <c r="L121" s="1" t="n">
        <f aca="false">L120+K121</f>
        <v>0</v>
      </c>
    </row>
    <row r="122" customFormat="false" ht="15" hidden="false" customHeight="true" outlineLevel="0" collapsed="false">
      <c r="A122" s="1" t="s">
        <v>22</v>
      </c>
      <c r="B122" s="1" t="s">
        <v>355</v>
      </c>
      <c r="C122" s="1" t="n">
        <v>28</v>
      </c>
      <c r="E122" s="1" t="s">
        <v>512</v>
      </c>
      <c r="F122" s="1" t="s">
        <v>513</v>
      </c>
      <c r="G122" s="1" t="s">
        <v>478</v>
      </c>
      <c r="H122" s="1" t="s">
        <v>524</v>
      </c>
      <c r="I122" s="1" t="s">
        <v>524</v>
      </c>
      <c r="J122" s="1" t="s">
        <v>531</v>
      </c>
      <c r="K122" s="1" t="n">
        <f aca="false">IF(Search!$D$5="",0,IF(AND(OR(Search!$N$5="",ISNUMBER(SEARCH(Search!$N$5,J122))),OR(Search!$N$6="",ISNUMBER(SEARCH(Search!$N$6,J122))),OR(Search!$N$7="",ISNUMBER(SEARCH(Search!$N$7,J122))),OR(Search!$N$8="",ISNUMBER(SEARCH(Search!$N$8,J122)))),1,0))</f>
        <v>0</v>
      </c>
      <c r="L122" s="1" t="n">
        <f aca="false">L121+K122</f>
        <v>0</v>
      </c>
    </row>
    <row r="123" customFormat="false" ht="15" hidden="false" customHeight="true" outlineLevel="0" collapsed="false">
      <c r="A123" s="1" t="s">
        <v>22</v>
      </c>
      <c r="B123" s="1" t="s">
        <v>355</v>
      </c>
      <c r="C123" s="1" t="n">
        <v>30</v>
      </c>
      <c r="E123" s="1" t="s">
        <v>532</v>
      </c>
      <c r="J123" s="1" t="s">
        <v>532</v>
      </c>
      <c r="K123" s="1" t="n">
        <f aca="false">IF(Search!$D$5="",0,IF(AND(OR(Search!$N$5="",ISNUMBER(SEARCH(Search!$N$5,J123))),OR(Search!$N$6="",ISNUMBER(SEARCH(Search!$N$6,J123))),OR(Search!$N$7="",ISNUMBER(SEARCH(Search!$N$7,J123))),OR(Search!$N$8="",ISNUMBER(SEARCH(Search!$N$8,J123)))),1,0))</f>
        <v>0</v>
      </c>
      <c r="L123" s="1" t="n">
        <f aca="false">L122+K123</f>
        <v>0</v>
      </c>
    </row>
    <row r="124" customFormat="false" ht="15" hidden="false" customHeight="true" outlineLevel="0" collapsed="false">
      <c r="A124" s="1" t="s">
        <v>23</v>
      </c>
      <c r="B124" s="1" t="s">
        <v>355</v>
      </c>
      <c r="C124" s="1" t="n">
        <v>2</v>
      </c>
      <c r="E124" s="1" t="s">
        <v>533</v>
      </c>
      <c r="J124" s="1" t="s">
        <v>533</v>
      </c>
      <c r="K124" s="1" t="n">
        <f aca="false">IF(Search!$D$5="",0,IF(AND(OR(Search!$N$5="",ISNUMBER(SEARCH(Search!$N$5,J124))),OR(Search!$N$6="",ISNUMBER(SEARCH(Search!$N$6,J124))),OR(Search!$N$7="",ISNUMBER(SEARCH(Search!$N$7,J124))),OR(Search!$N$8="",ISNUMBER(SEARCH(Search!$N$8,J124)))),1,0))</f>
        <v>0</v>
      </c>
      <c r="L124" s="1" t="n">
        <f aca="false">L123+K124</f>
        <v>0</v>
      </c>
    </row>
    <row r="125" customFormat="false" ht="15" hidden="false" customHeight="true" outlineLevel="0" collapsed="false">
      <c r="A125" s="1" t="s">
        <v>23</v>
      </c>
      <c r="B125" s="1" t="s">
        <v>355</v>
      </c>
      <c r="C125" s="1" t="n">
        <v>3</v>
      </c>
      <c r="E125" s="1" t="s">
        <v>534</v>
      </c>
      <c r="J125" s="1" t="s">
        <v>534</v>
      </c>
      <c r="K125" s="1" t="n">
        <f aca="false">IF(Search!$D$5="",0,IF(AND(OR(Search!$N$5="",ISNUMBER(SEARCH(Search!$N$5,J125))),OR(Search!$N$6="",ISNUMBER(SEARCH(Search!$N$6,J125))),OR(Search!$N$7="",ISNUMBER(SEARCH(Search!$N$7,J125))),OR(Search!$N$8="",ISNUMBER(SEARCH(Search!$N$8,J125)))),1,0))</f>
        <v>0</v>
      </c>
      <c r="L125" s="1" t="n">
        <f aca="false">L124+K125</f>
        <v>0</v>
      </c>
    </row>
    <row r="126" customFormat="false" ht="15" hidden="false" customHeight="true" outlineLevel="0" collapsed="false">
      <c r="A126" s="1" t="s">
        <v>23</v>
      </c>
      <c r="B126" s="1" t="s">
        <v>355</v>
      </c>
      <c r="C126" s="1" t="n">
        <v>5</v>
      </c>
      <c r="E126" s="1" t="s">
        <v>51</v>
      </c>
      <c r="F126" s="1" t="s">
        <v>358</v>
      </c>
      <c r="G126" s="1" t="s">
        <v>359</v>
      </c>
      <c r="H126" s="1" t="s">
        <v>360</v>
      </c>
      <c r="I126" s="1" t="s">
        <v>396</v>
      </c>
      <c r="J126" s="1" t="s">
        <v>535</v>
      </c>
      <c r="K126" s="1" t="n">
        <f aca="false">IF(Search!$D$5="",0,IF(AND(OR(Search!$N$5="",ISNUMBER(SEARCH(Search!$N$5,J126))),OR(Search!$N$6="",ISNUMBER(SEARCH(Search!$N$6,J126))),OR(Search!$N$7="",ISNUMBER(SEARCH(Search!$N$7,J126))),OR(Search!$N$8="",ISNUMBER(SEARCH(Search!$N$8,J126)))),1,0))</f>
        <v>0</v>
      </c>
      <c r="L126" s="1" t="n">
        <f aca="false">L125+K126</f>
        <v>0</v>
      </c>
    </row>
    <row r="127" customFormat="false" ht="15" hidden="false" customHeight="true" outlineLevel="0" collapsed="false">
      <c r="A127" s="1" t="s">
        <v>23</v>
      </c>
      <c r="B127" s="1" t="s">
        <v>355</v>
      </c>
      <c r="C127" s="1" t="n">
        <v>6</v>
      </c>
      <c r="E127" s="1" t="s">
        <v>536</v>
      </c>
      <c r="J127" s="1" t="s">
        <v>536</v>
      </c>
      <c r="K127" s="1" t="n">
        <f aca="false">IF(Search!$D$5="",0,IF(AND(OR(Search!$N$5="",ISNUMBER(SEARCH(Search!$N$5,J127))),OR(Search!$N$6="",ISNUMBER(SEARCH(Search!$N$6,J127))),OR(Search!$N$7="",ISNUMBER(SEARCH(Search!$N$7,J127))),OR(Search!$N$8="",ISNUMBER(SEARCH(Search!$N$8,J127)))),1,0))</f>
        <v>0</v>
      </c>
      <c r="L127" s="1" t="n">
        <f aca="false">L126+K127</f>
        <v>0</v>
      </c>
    </row>
    <row r="128" customFormat="false" ht="15" hidden="false" customHeight="true" outlineLevel="0" collapsed="false">
      <c r="A128" s="1" t="s">
        <v>23</v>
      </c>
      <c r="B128" s="1" t="s">
        <v>355</v>
      </c>
      <c r="C128" s="1" t="n">
        <v>7</v>
      </c>
      <c r="E128" s="1" t="s">
        <v>537</v>
      </c>
      <c r="F128" s="1" t="s">
        <v>362</v>
      </c>
      <c r="G128" s="1" t="s">
        <v>362</v>
      </c>
      <c r="H128" s="1" t="s">
        <v>362</v>
      </c>
      <c r="I128" s="1" t="s">
        <v>538</v>
      </c>
      <c r="J128" s="1" t="s">
        <v>539</v>
      </c>
      <c r="K128" s="1" t="n">
        <f aca="false">IF(Search!$D$5="",0,IF(AND(OR(Search!$N$5="",ISNUMBER(SEARCH(Search!$N$5,J128))),OR(Search!$N$6="",ISNUMBER(SEARCH(Search!$N$6,J128))),OR(Search!$N$7="",ISNUMBER(SEARCH(Search!$N$7,J128))),OR(Search!$N$8="",ISNUMBER(SEARCH(Search!$N$8,J128)))),1,0))</f>
        <v>0</v>
      </c>
      <c r="L128" s="1" t="n">
        <f aca="false">L127+K128</f>
        <v>0</v>
      </c>
    </row>
    <row r="129" customFormat="false" ht="15" hidden="false" customHeight="true" outlineLevel="0" collapsed="false">
      <c r="A129" s="1" t="s">
        <v>23</v>
      </c>
      <c r="B129" s="1" t="s">
        <v>355</v>
      </c>
      <c r="C129" s="1" t="n">
        <v>8</v>
      </c>
      <c r="E129" s="1" t="s">
        <v>540</v>
      </c>
      <c r="F129" s="1" t="s">
        <v>399</v>
      </c>
      <c r="G129" s="1" t="s">
        <v>400</v>
      </c>
      <c r="H129" s="1" t="s">
        <v>401</v>
      </c>
      <c r="I129" s="1" t="s">
        <v>402</v>
      </c>
      <c r="J129" s="1" t="s">
        <v>541</v>
      </c>
      <c r="K129" s="1" t="n">
        <f aca="false">IF(Search!$D$5="",0,IF(AND(OR(Search!$N$5="",ISNUMBER(SEARCH(Search!$N$5,J129))),OR(Search!$N$6="",ISNUMBER(SEARCH(Search!$N$6,J129))),OR(Search!$N$7="",ISNUMBER(SEARCH(Search!$N$7,J129))),OR(Search!$N$8="",ISNUMBER(SEARCH(Search!$N$8,J129)))),1,0))</f>
        <v>0</v>
      </c>
      <c r="L129" s="1" t="n">
        <f aca="false">L128+K129</f>
        <v>0</v>
      </c>
    </row>
    <row r="130" customFormat="false" ht="15" hidden="false" customHeight="true" outlineLevel="0" collapsed="false">
      <c r="A130" s="1" t="s">
        <v>23</v>
      </c>
      <c r="B130" s="1" t="s">
        <v>355</v>
      </c>
      <c r="C130" s="1" t="n">
        <v>9</v>
      </c>
      <c r="E130" s="1" t="s">
        <v>542</v>
      </c>
      <c r="F130" s="1" t="s">
        <v>543</v>
      </c>
      <c r="G130" s="1" t="s">
        <v>544</v>
      </c>
      <c r="H130" s="1" t="s">
        <v>545</v>
      </c>
      <c r="I130" s="1" t="s">
        <v>546</v>
      </c>
      <c r="J130" s="1" t="s">
        <v>547</v>
      </c>
      <c r="K130" s="1" t="n">
        <f aca="false">IF(Search!$D$5="",0,IF(AND(OR(Search!$N$5="",ISNUMBER(SEARCH(Search!$N$5,J130))),OR(Search!$N$6="",ISNUMBER(SEARCH(Search!$N$6,J130))),OR(Search!$N$7="",ISNUMBER(SEARCH(Search!$N$7,J130))),OR(Search!$N$8="",ISNUMBER(SEARCH(Search!$N$8,J130)))),1,0))</f>
        <v>0</v>
      </c>
      <c r="L130" s="1" t="n">
        <f aca="false">L129+K130</f>
        <v>0</v>
      </c>
    </row>
    <row r="131" customFormat="false" ht="15" hidden="false" customHeight="true" outlineLevel="0" collapsed="false">
      <c r="A131" s="1" t="s">
        <v>23</v>
      </c>
      <c r="B131" s="1" t="s">
        <v>355</v>
      </c>
      <c r="C131" s="1" t="n">
        <v>10</v>
      </c>
      <c r="E131" s="1" t="s">
        <v>548</v>
      </c>
      <c r="J131" s="1" t="s">
        <v>548</v>
      </c>
      <c r="K131" s="1" t="n">
        <f aca="false">IF(Search!$D$5="",0,IF(AND(OR(Search!$N$5="",ISNUMBER(SEARCH(Search!$N$5,J131))),OR(Search!$N$6="",ISNUMBER(SEARCH(Search!$N$6,J131))),OR(Search!$N$7="",ISNUMBER(SEARCH(Search!$N$7,J131))),OR(Search!$N$8="",ISNUMBER(SEARCH(Search!$N$8,J131)))),1,0))</f>
        <v>0</v>
      </c>
      <c r="L131" s="1" t="n">
        <f aca="false">L130+K131</f>
        <v>0</v>
      </c>
    </row>
    <row r="132" customFormat="false" ht="15" hidden="false" customHeight="true" outlineLevel="0" collapsed="false">
      <c r="A132" s="1" t="s">
        <v>23</v>
      </c>
      <c r="B132" s="1" t="s">
        <v>355</v>
      </c>
      <c r="C132" s="1" t="n">
        <v>11</v>
      </c>
      <c r="E132" s="1" t="s">
        <v>549</v>
      </c>
      <c r="F132" s="1" t="s">
        <v>399</v>
      </c>
      <c r="G132" s="1" t="s">
        <v>400</v>
      </c>
      <c r="H132" s="1" t="s">
        <v>401</v>
      </c>
      <c r="I132" s="1" t="s">
        <v>402</v>
      </c>
      <c r="J132" s="1" t="s">
        <v>550</v>
      </c>
      <c r="K132" s="1" t="n">
        <f aca="false">IF(Search!$D$5="",0,IF(AND(OR(Search!$N$5="",ISNUMBER(SEARCH(Search!$N$5,J132))),OR(Search!$N$6="",ISNUMBER(SEARCH(Search!$N$6,J132))),OR(Search!$N$7="",ISNUMBER(SEARCH(Search!$N$7,J132))),OR(Search!$N$8="",ISNUMBER(SEARCH(Search!$N$8,J132)))),1,0))</f>
        <v>0</v>
      </c>
      <c r="L132" s="1" t="n">
        <f aca="false">L131+K132</f>
        <v>0</v>
      </c>
    </row>
    <row r="133" customFormat="false" ht="15" hidden="false" customHeight="true" outlineLevel="0" collapsed="false">
      <c r="A133" s="1" t="s">
        <v>23</v>
      </c>
      <c r="B133" s="1" t="s">
        <v>355</v>
      </c>
      <c r="C133" s="1" t="n">
        <v>12</v>
      </c>
      <c r="E133" s="1" t="s">
        <v>551</v>
      </c>
      <c r="F133" s="1" t="s">
        <v>405</v>
      </c>
      <c r="G133" s="1" t="s">
        <v>406</v>
      </c>
      <c r="H133" s="1" t="s">
        <v>407</v>
      </c>
      <c r="I133" s="1" t="s">
        <v>408</v>
      </c>
      <c r="J133" s="1" t="s">
        <v>552</v>
      </c>
      <c r="K133" s="1" t="n">
        <f aca="false">IF(Search!$D$5="",0,IF(AND(OR(Search!$N$5="",ISNUMBER(SEARCH(Search!$N$5,J133))),OR(Search!$N$6="",ISNUMBER(SEARCH(Search!$N$6,J133))),OR(Search!$N$7="",ISNUMBER(SEARCH(Search!$N$7,J133))),OR(Search!$N$8="",ISNUMBER(SEARCH(Search!$N$8,J133)))),1,0))</f>
        <v>0</v>
      </c>
      <c r="L133" s="1" t="n">
        <f aca="false">L132+K133</f>
        <v>0</v>
      </c>
    </row>
    <row r="134" customFormat="false" ht="15" hidden="false" customHeight="true" outlineLevel="0" collapsed="false">
      <c r="A134" s="1" t="s">
        <v>23</v>
      </c>
      <c r="B134" s="1" t="s">
        <v>355</v>
      </c>
      <c r="C134" s="1" t="n">
        <v>13</v>
      </c>
      <c r="E134" s="1" t="s">
        <v>553</v>
      </c>
      <c r="F134" s="1" t="s">
        <v>411</v>
      </c>
      <c r="G134" s="1" t="s">
        <v>412</v>
      </c>
      <c r="H134" s="1" t="s">
        <v>413</v>
      </c>
      <c r="I134" s="1" t="s">
        <v>414</v>
      </c>
      <c r="J134" s="1" t="s">
        <v>554</v>
      </c>
      <c r="K134" s="1" t="n">
        <f aca="false">IF(Search!$D$5="",0,IF(AND(OR(Search!$N$5="",ISNUMBER(SEARCH(Search!$N$5,J134))),OR(Search!$N$6="",ISNUMBER(SEARCH(Search!$N$6,J134))),OR(Search!$N$7="",ISNUMBER(SEARCH(Search!$N$7,J134))),OR(Search!$N$8="",ISNUMBER(SEARCH(Search!$N$8,J134)))),1,0))</f>
        <v>0</v>
      </c>
      <c r="L134" s="1" t="n">
        <f aca="false">L133+K134</f>
        <v>0</v>
      </c>
    </row>
    <row r="135" customFormat="false" ht="15" hidden="false" customHeight="true" outlineLevel="0" collapsed="false">
      <c r="A135" s="1" t="s">
        <v>23</v>
      </c>
      <c r="B135" s="1" t="s">
        <v>355</v>
      </c>
      <c r="C135" s="1" t="n">
        <v>14</v>
      </c>
      <c r="E135" s="1" t="s">
        <v>555</v>
      </c>
      <c r="F135" s="1" t="s">
        <v>411</v>
      </c>
      <c r="G135" s="1" t="s">
        <v>417</v>
      </c>
      <c r="H135" s="1" t="s">
        <v>418</v>
      </c>
      <c r="I135" s="1" t="s">
        <v>419</v>
      </c>
      <c r="J135" s="1" t="s">
        <v>556</v>
      </c>
      <c r="K135" s="1" t="n">
        <f aca="false">IF(Search!$D$5="",0,IF(AND(OR(Search!$N$5="",ISNUMBER(SEARCH(Search!$N$5,J135))),OR(Search!$N$6="",ISNUMBER(SEARCH(Search!$N$6,J135))),OR(Search!$N$7="",ISNUMBER(SEARCH(Search!$N$7,J135))),OR(Search!$N$8="",ISNUMBER(SEARCH(Search!$N$8,J135)))),1,0))</f>
        <v>0</v>
      </c>
      <c r="L135" s="1" t="n">
        <f aca="false">L134+K135</f>
        <v>0</v>
      </c>
    </row>
    <row r="136" customFormat="false" ht="15" hidden="false" customHeight="true" outlineLevel="0" collapsed="false">
      <c r="A136" s="1" t="s">
        <v>23</v>
      </c>
      <c r="B136" s="1" t="s">
        <v>355</v>
      </c>
      <c r="C136" s="1" t="n">
        <v>15</v>
      </c>
      <c r="E136" s="1" t="s">
        <v>557</v>
      </c>
      <c r="F136" s="1" t="s">
        <v>411</v>
      </c>
      <c r="G136" s="1" t="s">
        <v>399</v>
      </c>
      <c r="H136" s="1" t="s">
        <v>422</v>
      </c>
      <c r="I136" s="1" t="s">
        <v>423</v>
      </c>
      <c r="J136" s="1" t="s">
        <v>558</v>
      </c>
      <c r="K136" s="1" t="n">
        <f aca="false">IF(Search!$D$5="",0,IF(AND(OR(Search!$N$5="",ISNUMBER(SEARCH(Search!$N$5,J136))),OR(Search!$N$6="",ISNUMBER(SEARCH(Search!$N$6,J136))),OR(Search!$N$7="",ISNUMBER(SEARCH(Search!$N$7,J136))),OR(Search!$N$8="",ISNUMBER(SEARCH(Search!$N$8,J136)))),1,0))</f>
        <v>0</v>
      </c>
      <c r="L136" s="1" t="n">
        <f aca="false">L135+K136</f>
        <v>0</v>
      </c>
    </row>
    <row r="137" customFormat="false" ht="15" hidden="false" customHeight="true" outlineLevel="0" collapsed="false">
      <c r="A137" s="1" t="s">
        <v>23</v>
      </c>
      <c r="B137" s="1" t="s">
        <v>355</v>
      </c>
      <c r="C137" s="1" t="n">
        <v>16</v>
      </c>
      <c r="E137" s="1" t="s">
        <v>559</v>
      </c>
      <c r="F137" s="1" t="s">
        <v>426</v>
      </c>
      <c r="G137" s="1" t="s">
        <v>405</v>
      </c>
      <c r="H137" s="1" t="s">
        <v>427</v>
      </c>
      <c r="I137" s="1" t="s">
        <v>428</v>
      </c>
      <c r="J137" s="1" t="s">
        <v>560</v>
      </c>
      <c r="K137" s="1" t="n">
        <f aca="false">IF(Search!$D$5="",0,IF(AND(OR(Search!$N$5="",ISNUMBER(SEARCH(Search!$N$5,J137))),OR(Search!$N$6="",ISNUMBER(SEARCH(Search!$N$6,J137))),OR(Search!$N$7="",ISNUMBER(SEARCH(Search!$N$7,J137))),OR(Search!$N$8="",ISNUMBER(SEARCH(Search!$N$8,J137)))),1,0))</f>
        <v>0</v>
      </c>
      <c r="L137" s="1" t="n">
        <f aca="false">L136+K137</f>
        <v>0</v>
      </c>
    </row>
    <row r="138" customFormat="false" ht="15" hidden="false" customHeight="true" outlineLevel="0" collapsed="false">
      <c r="A138" s="1" t="s">
        <v>23</v>
      </c>
      <c r="B138" s="1" t="s">
        <v>355</v>
      </c>
      <c r="C138" s="1" t="n">
        <v>17</v>
      </c>
      <c r="E138" s="1" t="s">
        <v>561</v>
      </c>
      <c r="J138" s="1" t="s">
        <v>561</v>
      </c>
      <c r="K138" s="1" t="n">
        <f aca="false">IF(Search!$D$5="",0,IF(AND(OR(Search!$N$5="",ISNUMBER(SEARCH(Search!$N$5,J138))),OR(Search!$N$6="",ISNUMBER(SEARCH(Search!$N$6,J138))),OR(Search!$N$7="",ISNUMBER(SEARCH(Search!$N$7,J138))),OR(Search!$N$8="",ISNUMBER(SEARCH(Search!$N$8,J138)))),1,0))</f>
        <v>0</v>
      </c>
      <c r="L138" s="1" t="n">
        <f aca="false">L137+K138</f>
        <v>0</v>
      </c>
    </row>
    <row r="139" customFormat="false" ht="15" hidden="false" customHeight="true" outlineLevel="0" collapsed="false">
      <c r="A139" s="1" t="s">
        <v>23</v>
      </c>
      <c r="B139" s="1" t="s">
        <v>355</v>
      </c>
      <c r="C139" s="1" t="n">
        <v>18</v>
      </c>
      <c r="E139" s="1" t="s">
        <v>549</v>
      </c>
      <c r="F139" s="1" t="s">
        <v>371</v>
      </c>
      <c r="G139" s="1" t="s">
        <v>372</v>
      </c>
      <c r="H139" s="1" t="s">
        <v>373</v>
      </c>
      <c r="I139" s="1" t="s">
        <v>562</v>
      </c>
      <c r="J139" s="1" t="s">
        <v>563</v>
      </c>
      <c r="K139" s="1" t="n">
        <f aca="false">IF(Search!$D$5="",0,IF(AND(OR(Search!$N$5="",ISNUMBER(SEARCH(Search!$N$5,J139))),OR(Search!$N$6="",ISNUMBER(SEARCH(Search!$N$6,J139))),OR(Search!$N$7="",ISNUMBER(SEARCH(Search!$N$7,J139))),OR(Search!$N$8="",ISNUMBER(SEARCH(Search!$N$8,J139)))),1,0))</f>
        <v>0</v>
      </c>
      <c r="L139" s="1" t="n">
        <f aca="false">L138+K139</f>
        <v>0</v>
      </c>
    </row>
    <row r="140" customFormat="false" ht="15" hidden="false" customHeight="true" outlineLevel="0" collapsed="false">
      <c r="A140" s="1" t="s">
        <v>23</v>
      </c>
      <c r="B140" s="1" t="s">
        <v>355</v>
      </c>
      <c r="C140" s="1" t="n">
        <v>19</v>
      </c>
      <c r="E140" s="1" t="s">
        <v>551</v>
      </c>
      <c r="F140" s="1" t="s">
        <v>371</v>
      </c>
      <c r="G140" s="1" t="s">
        <v>372</v>
      </c>
      <c r="H140" s="1" t="s">
        <v>373</v>
      </c>
      <c r="I140" s="1" t="s">
        <v>562</v>
      </c>
      <c r="J140" s="1" t="s">
        <v>564</v>
      </c>
      <c r="K140" s="1" t="n">
        <f aca="false">IF(Search!$D$5="",0,IF(AND(OR(Search!$N$5="",ISNUMBER(SEARCH(Search!$N$5,J140))),OR(Search!$N$6="",ISNUMBER(SEARCH(Search!$N$6,J140))),OR(Search!$N$7="",ISNUMBER(SEARCH(Search!$N$7,J140))),OR(Search!$N$8="",ISNUMBER(SEARCH(Search!$N$8,J140)))),1,0))</f>
        <v>0</v>
      </c>
      <c r="L140" s="1" t="n">
        <f aca="false">L139+K140</f>
        <v>0</v>
      </c>
    </row>
    <row r="141" customFormat="false" ht="15" hidden="false" customHeight="true" outlineLevel="0" collapsed="false">
      <c r="A141" s="1" t="s">
        <v>23</v>
      </c>
      <c r="B141" s="1" t="s">
        <v>355</v>
      </c>
      <c r="C141" s="1" t="n">
        <v>20</v>
      </c>
      <c r="E141" s="1" t="s">
        <v>553</v>
      </c>
      <c r="F141" s="1" t="s">
        <v>371</v>
      </c>
      <c r="G141" s="1" t="s">
        <v>565</v>
      </c>
      <c r="H141" s="1" t="s">
        <v>373</v>
      </c>
      <c r="I141" s="1" t="s">
        <v>566</v>
      </c>
      <c r="J141" s="1" t="s">
        <v>567</v>
      </c>
      <c r="K141" s="1" t="n">
        <f aca="false">IF(Search!$D$5="",0,IF(AND(OR(Search!$N$5="",ISNUMBER(SEARCH(Search!$N$5,J141))),OR(Search!$N$6="",ISNUMBER(SEARCH(Search!$N$6,J141))),OR(Search!$N$7="",ISNUMBER(SEARCH(Search!$N$7,J141))),OR(Search!$N$8="",ISNUMBER(SEARCH(Search!$N$8,J141)))),1,0))</f>
        <v>0</v>
      </c>
      <c r="L141" s="1" t="n">
        <f aca="false">L140+K141</f>
        <v>0</v>
      </c>
    </row>
    <row r="142" customFormat="false" ht="15" hidden="false" customHeight="true" outlineLevel="0" collapsed="false">
      <c r="A142" s="1" t="s">
        <v>23</v>
      </c>
      <c r="B142" s="1" t="s">
        <v>355</v>
      </c>
      <c r="C142" s="1" t="n">
        <v>21</v>
      </c>
      <c r="E142" s="1" t="s">
        <v>557</v>
      </c>
      <c r="F142" s="1" t="s">
        <v>371</v>
      </c>
      <c r="G142" s="1" t="s">
        <v>568</v>
      </c>
      <c r="H142" s="1" t="s">
        <v>569</v>
      </c>
      <c r="I142" s="1" t="s">
        <v>570</v>
      </c>
      <c r="J142" s="1" t="s">
        <v>571</v>
      </c>
      <c r="K142" s="1" t="n">
        <f aca="false">IF(Search!$D$5="",0,IF(AND(OR(Search!$N$5="",ISNUMBER(SEARCH(Search!$N$5,J142))),OR(Search!$N$6="",ISNUMBER(SEARCH(Search!$N$6,J142))),OR(Search!$N$7="",ISNUMBER(SEARCH(Search!$N$7,J142))),OR(Search!$N$8="",ISNUMBER(SEARCH(Search!$N$8,J142)))),1,0))</f>
        <v>0</v>
      </c>
      <c r="L142" s="1" t="n">
        <f aca="false">L141+K142</f>
        <v>0</v>
      </c>
    </row>
    <row r="143" customFormat="false" ht="15" hidden="false" customHeight="true" outlineLevel="0" collapsed="false">
      <c r="A143" s="1" t="s">
        <v>23</v>
      </c>
      <c r="B143" s="1" t="s">
        <v>355</v>
      </c>
      <c r="C143" s="1" t="n">
        <v>22</v>
      </c>
      <c r="E143" s="1" t="s">
        <v>559</v>
      </c>
      <c r="F143" s="1" t="s">
        <v>572</v>
      </c>
      <c r="G143" s="1" t="s">
        <v>573</v>
      </c>
      <c r="H143" s="1" t="s">
        <v>574</v>
      </c>
      <c r="I143" s="1" t="s">
        <v>373</v>
      </c>
      <c r="J143" s="1" t="s">
        <v>575</v>
      </c>
      <c r="K143" s="1" t="n">
        <f aca="false">IF(Search!$D$5="",0,IF(AND(OR(Search!$N$5="",ISNUMBER(SEARCH(Search!$N$5,J143))),OR(Search!$N$6="",ISNUMBER(SEARCH(Search!$N$6,J143))),OR(Search!$N$7="",ISNUMBER(SEARCH(Search!$N$7,J143))),OR(Search!$N$8="",ISNUMBER(SEARCH(Search!$N$8,J143)))),1,0))</f>
        <v>0</v>
      </c>
      <c r="L143" s="1" t="n">
        <f aca="false">L142+K143</f>
        <v>0</v>
      </c>
    </row>
    <row r="144" customFormat="false" ht="15" hidden="false" customHeight="true" outlineLevel="0" collapsed="false">
      <c r="A144" s="1" t="s">
        <v>23</v>
      </c>
      <c r="B144" s="1" t="s">
        <v>355</v>
      </c>
      <c r="C144" s="1" t="n">
        <v>23</v>
      </c>
      <c r="E144" s="1" t="s">
        <v>576</v>
      </c>
      <c r="J144" s="1" t="s">
        <v>576</v>
      </c>
      <c r="K144" s="1" t="n">
        <f aca="false">IF(Search!$D$5="",0,IF(AND(OR(Search!$N$5="",ISNUMBER(SEARCH(Search!$N$5,J144))),OR(Search!$N$6="",ISNUMBER(SEARCH(Search!$N$6,J144))),OR(Search!$N$7="",ISNUMBER(SEARCH(Search!$N$7,J144))),OR(Search!$N$8="",ISNUMBER(SEARCH(Search!$N$8,J144)))),1,0))</f>
        <v>0</v>
      </c>
      <c r="L144" s="1" t="n">
        <f aca="false">L143+K144</f>
        <v>0</v>
      </c>
    </row>
    <row r="145" customFormat="false" ht="15" hidden="false" customHeight="true" outlineLevel="0" collapsed="false">
      <c r="A145" s="1" t="s">
        <v>23</v>
      </c>
      <c r="B145" s="1" t="s">
        <v>355</v>
      </c>
      <c r="C145" s="1" t="n">
        <v>24</v>
      </c>
      <c r="E145" s="1" t="s">
        <v>549</v>
      </c>
      <c r="F145" s="1" t="s">
        <v>577</v>
      </c>
      <c r="G145" s="1" t="s">
        <v>578</v>
      </c>
      <c r="H145" s="1" t="s">
        <v>579</v>
      </c>
      <c r="I145" s="1" t="s">
        <v>580</v>
      </c>
      <c r="J145" s="1" t="s">
        <v>581</v>
      </c>
      <c r="K145" s="1" t="n">
        <f aca="false">IF(Search!$D$5="",0,IF(AND(OR(Search!$N$5="",ISNUMBER(SEARCH(Search!$N$5,J145))),OR(Search!$N$6="",ISNUMBER(SEARCH(Search!$N$6,J145))),OR(Search!$N$7="",ISNUMBER(SEARCH(Search!$N$7,J145))),OR(Search!$N$8="",ISNUMBER(SEARCH(Search!$N$8,J145)))),1,0))</f>
        <v>0</v>
      </c>
      <c r="L145" s="1" t="n">
        <f aca="false">L144+K145</f>
        <v>0</v>
      </c>
    </row>
    <row r="146" customFormat="false" ht="15" hidden="false" customHeight="true" outlineLevel="0" collapsed="false">
      <c r="A146" s="1" t="s">
        <v>23</v>
      </c>
      <c r="B146" s="1" t="s">
        <v>355</v>
      </c>
      <c r="C146" s="1" t="n">
        <v>25</v>
      </c>
      <c r="E146" s="1" t="s">
        <v>551</v>
      </c>
      <c r="F146" s="1" t="s">
        <v>577</v>
      </c>
      <c r="G146" s="1" t="s">
        <v>578</v>
      </c>
      <c r="H146" s="1" t="s">
        <v>579</v>
      </c>
      <c r="I146" s="1" t="s">
        <v>580</v>
      </c>
      <c r="J146" s="1" t="s">
        <v>582</v>
      </c>
      <c r="K146" s="1" t="n">
        <f aca="false">IF(Search!$D$5="",0,IF(AND(OR(Search!$N$5="",ISNUMBER(SEARCH(Search!$N$5,J146))),OR(Search!$N$6="",ISNUMBER(SEARCH(Search!$N$6,J146))),OR(Search!$N$7="",ISNUMBER(SEARCH(Search!$N$7,J146))),OR(Search!$N$8="",ISNUMBER(SEARCH(Search!$N$8,J146)))),1,0))</f>
        <v>0</v>
      </c>
      <c r="L146" s="1" t="n">
        <f aca="false">L145+K146</f>
        <v>0</v>
      </c>
    </row>
    <row r="147" customFormat="false" ht="15" hidden="false" customHeight="true" outlineLevel="0" collapsed="false">
      <c r="A147" s="1" t="s">
        <v>23</v>
      </c>
      <c r="B147" s="1" t="s">
        <v>355</v>
      </c>
      <c r="C147" s="1" t="n">
        <v>26</v>
      </c>
      <c r="E147" s="1" t="s">
        <v>553</v>
      </c>
      <c r="F147" s="1" t="s">
        <v>583</v>
      </c>
      <c r="G147" s="1" t="s">
        <v>579</v>
      </c>
      <c r="H147" s="1" t="s">
        <v>584</v>
      </c>
      <c r="I147" s="1" t="s">
        <v>585</v>
      </c>
      <c r="J147" s="1" t="s">
        <v>586</v>
      </c>
      <c r="K147" s="1" t="n">
        <f aca="false">IF(Search!$D$5="",0,IF(AND(OR(Search!$N$5="",ISNUMBER(SEARCH(Search!$N$5,J147))),OR(Search!$N$6="",ISNUMBER(SEARCH(Search!$N$6,J147))),OR(Search!$N$7="",ISNUMBER(SEARCH(Search!$N$7,J147))),OR(Search!$N$8="",ISNUMBER(SEARCH(Search!$N$8,J147)))),1,0))</f>
        <v>0</v>
      </c>
      <c r="L147" s="1" t="n">
        <f aca="false">L146+K147</f>
        <v>0</v>
      </c>
    </row>
    <row r="148" customFormat="false" ht="15" hidden="false" customHeight="true" outlineLevel="0" collapsed="false">
      <c r="A148" s="1" t="s">
        <v>23</v>
      </c>
      <c r="B148" s="1" t="s">
        <v>355</v>
      </c>
      <c r="C148" s="1" t="n">
        <v>27</v>
      </c>
      <c r="E148" s="1" t="s">
        <v>557</v>
      </c>
      <c r="F148" s="1" t="s">
        <v>579</v>
      </c>
      <c r="G148" s="1" t="s">
        <v>584</v>
      </c>
      <c r="H148" s="1" t="s">
        <v>587</v>
      </c>
      <c r="I148" s="1" t="s">
        <v>588</v>
      </c>
      <c r="J148" s="1" t="s">
        <v>589</v>
      </c>
      <c r="K148" s="1" t="n">
        <f aca="false">IF(Search!$D$5="",0,IF(AND(OR(Search!$N$5="",ISNUMBER(SEARCH(Search!$N$5,J148))),OR(Search!$N$6="",ISNUMBER(SEARCH(Search!$N$6,J148))),OR(Search!$N$7="",ISNUMBER(SEARCH(Search!$N$7,J148))),OR(Search!$N$8="",ISNUMBER(SEARCH(Search!$N$8,J148)))),1,0))</f>
        <v>0</v>
      </c>
      <c r="L148" s="1" t="n">
        <f aca="false">L147+K148</f>
        <v>0</v>
      </c>
    </row>
    <row r="149" customFormat="false" ht="15" hidden="false" customHeight="true" outlineLevel="0" collapsed="false">
      <c r="A149" s="1" t="s">
        <v>23</v>
      </c>
      <c r="B149" s="1" t="s">
        <v>355</v>
      </c>
      <c r="C149" s="1" t="n">
        <v>28</v>
      </c>
      <c r="E149" s="1" t="s">
        <v>590</v>
      </c>
      <c r="J149" s="1" t="s">
        <v>590</v>
      </c>
      <c r="K149" s="1" t="n">
        <f aca="false">IF(Search!$D$5="",0,IF(AND(OR(Search!$N$5="",ISNUMBER(SEARCH(Search!$N$5,J149))),OR(Search!$N$6="",ISNUMBER(SEARCH(Search!$N$6,J149))),OR(Search!$N$7="",ISNUMBER(SEARCH(Search!$N$7,J149))),OR(Search!$N$8="",ISNUMBER(SEARCH(Search!$N$8,J149)))),1,0))</f>
        <v>0</v>
      </c>
      <c r="L149" s="1" t="n">
        <f aca="false">L148+K149</f>
        <v>0</v>
      </c>
    </row>
    <row r="150" customFormat="false" ht="15" hidden="false" customHeight="true" outlineLevel="0" collapsed="false">
      <c r="A150" s="1" t="s">
        <v>23</v>
      </c>
      <c r="B150" s="1" t="s">
        <v>355</v>
      </c>
      <c r="C150" s="1" t="n">
        <v>29</v>
      </c>
      <c r="E150" s="1" t="s">
        <v>591</v>
      </c>
      <c r="F150" s="1" t="s">
        <v>592</v>
      </c>
      <c r="G150" s="1" t="s">
        <v>592</v>
      </c>
      <c r="H150" s="1" t="s">
        <v>593</v>
      </c>
      <c r="I150" s="1" t="s">
        <v>594</v>
      </c>
      <c r="J150" s="1" t="s">
        <v>595</v>
      </c>
      <c r="K150" s="1" t="n">
        <f aca="false">IF(Search!$D$5="",0,IF(AND(OR(Search!$N$5="",ISNUMBER(SEARCH(Search!$N$5,J150))),OR(Search!$N$6="",ISNUMBER(SEARCH(Search!$N$6,J150))),OR(Search!$N$7="",ISNUMBER(SEARCH(Search!$N$7,J150))),OR(Search!$N$8="",ISNUMBER(SEARCH(Search!$N$8,J150)))),1,0))</f>
        <v>0</v>
      </c>
      <c r="L150" s="1" t="n">
        <f aca="false">L149+K150</f>
        <v>0</v>
      </c>
    </row>
    <row r="151" customFormat="false" ht="15" hidden="false" customHeight="true" outlineLevel="0" collapsed="false">
      <c r="A151" s="1" t="s">
        <v>23</v>
      </c>
      <c r="B151" s="1" t="s">
        <v>355</v>
      </c>
      <c r="C151" s="1" t="n">
        <v>30</v>
      </c>
      <c r="E151" s="1" t="s">
        <v>596</v>
      </c>
      <c r="F151" s="1" t="s">
        <v>597</v>
      </c>
      <c r="G151" s="1" t="s">
        <v>598</v>
      </c>
      <c r="H151" s="1" t="s">
        <v>597</v>
      </c>
      <c r="I151" s="1" t="s">
        <v>599</v>
      </c>
      <c r="J151" s="1" t="s">
        <v>600</v>
      </c>
      <c r="K151" s="1" t="n">
        <f aca="false">IF(Search!$D$5="",0,IF(AND(OR(Search!$N$5="",ISNUMBER(SEARCH(Search!$N$5,J151))),OR(Search!$N$6="",ISNUMBER(SEARCH(Search!$N$6,J151))),OR(Search!$N$7="",ISNUMBER(SEARCH(Search!$N$7,J151))),OR(Search!$N$8="",ISNUMBER(SEARCH(Search!$N$8,J151)))),1,0))</f>
        <v>0</v>
      </c>
      <c r="L151" s="1" t="n">
        <f aca="false">L150+K151</f>
        <v>0</v>
      </c>
    </row>
    <row r="152" customFormat="false" ht="15" hidden="false" customHeight="true" outlineLevel="0" collapsed="false">
      <c r="A152" s="1" t="s">
        <v>23</v>
      </c>
      <c r="B152" s="1" t="s">
        <v>355</v>
      </c>
      <c r="C152" s="1" t="n">
        <v>31</v>
      </c>
      <c r="E152" s="1" t="s">
        <v>601</v>
      </c>
      <c r="F152" s="1" t="s">
        <v>602</v>
      </c>
      <c r="G152" s="1" t="s">
        <v>602</v>
      </c>
      <c r="H152" s="1" t="s">
        <v>602</v>
      </c>
      <c r="I152" s="1" t="s">
        <v>602</v>
      </c>
      <c r="J152" s="1" t="s">
        <v>603</v>
      </c>
      <c r="K152" s="1" t="n">
        <f aca="false">IF(Search!$D$5="",0,IF(AND(OR(Search!$N$5="",ISNUMBER(SEARCH(Search!$N$5,J152))),OR(Search!$N$6="",ISNUMBER(SEARCH(Search!$N$6,J152))),OR(Search!$N$7="",ISNUMBER(SEARCH(Search!$N$7,J152))),OR(Search!$N$8="",ISNUMBER(SEARCH(Search!$N$8,J152)))),1,0))</f>
        <v>0</v>
      </c>
      <c r="L152" s="1" t="n">
        <f aca="false">L151+K152</f>
        <v>0</v>
      </c>
    </row>
    <row r="153" customFormat="false" ht="15" hidden="false" customHeight="true" outlineLevel="0" collapsed="false">
      <c r="A153" s="1" t="s">
        <v>23</v>
      </c>
      <c r="B153" s="1" t="s">
        <v>355</v>
      </c>
      <c r="C153" s="1" t="n">
        <v>32</v>
      </c>
      <c r="E153" s="1" t="s">
        <v>604</v>
      </c>
      <c r="J153" s="1" t="s">
        <v>604</v>
      </c>
      <c r="K153" s="1" t="n">
        <f aca="false">IF(Search!$D$5="",0,IF(AND(OR(Search!$N$5="",ISNUMBER(SEARCH(Search!$N$5,J153))),OR(Search!$N$6="",ISNUMBER(SEARCH(Search!$N$6,J153))),OR(Search!$N$7="",ISNUMBER(SEARCH(Search!$N$7,J153))),OR(Search!$N$8="",ISNUMBER(SEARCH(Search!$N$8,J153)))),1,0))</f>
        <v>0</v>
      </c>
      <c r="L153" s="1" t="n">
        <f aca="false">L152+K153</f>
        <v>0</v>
      </c>
    </row>
    <row r="154" customFormat="false" ht="15" hidden="false" customHeight="true" outlineLevel="0" collapsed="false">
      <c r="A154" s="1" t="s">
        <v>23</v>
      </c>
      <c r="B154" s="1" t="s">
        <v>355</v>
      </c>
      <c r="C154" s="1" t="n">
        <v>33</v>
      </c>
      <c r="E154" s="1" t="s">
        <v>605</v>
      </c>
      <c r="F154" s="1" t="s">
        <v>543</v>
      </c>
      <c r="G154" s="1" t="s">
        <v>544</v>
      </c>
      <c r="H154" s="1" t="s">
        <v>545</v>
      </c>
      <c r="I154" s="1" t="s">
        <v>546</v>
      </c>
      <c r="J154" s="1" t="s">
        <v>606</v>
      </c>
      <c r="K154" s="1" t="n">
        <f aca="false">IF(Search!$D$5="",0,IF(AND(OR(Search!$N$5="",ISNUMBER(SEARCH(Search!$N$5,J154))),OR(Search!$N$6="",ISNUMBER(SEARCH(Search!$N$6,J154))),OR(Search!$N$7="",ISNUMBER(SEARCH(Search!$N$7,J154))),OR(Search!$N$8="",ISNUMBER(SEARCH(Search!$N$8,J154)))),1,0))</f>
        <v>0</v>
      </c>
      <c r="L154" s="1" t="n">
        <f aca="false">L153+K154</f>
        <v>0</v>
      </c>
    </row>
    <row r="155" customFormat="false" ht="15" hidden="false" customHeight="true" outlineLevel="0" collapsed="false">
      <c r="A155" s="1" t="s">
        <v>23</v>
      </c>
      <c r="B155" s="1" t="s">
        <v>355</v>
      </c>
      <c r="C155" s="1" t="n">
        <v>34</v>
      </c>
      <c r="E155" s="1" t="s">
        <v>607</v>
      </c>
      <c r="F155" s="1" t="s">
        <v>608</v>
      </c>
      <c r="G155" s="1" t="s">
        <v>608</v>
      </c>
      <c r="H155" s="1" t="s">
        <v>609</v>
      </c>
      <c r="I155" s="1" t="s">
        <v>610</v>
      </c>
      <c r="J155" s="1" t="s">
        <v>611</v>
      </c>
      <c r="K155" s="1" t="n">
        <f aca="false">IF(Search!$D$5="",0,IF(AND(OR(Search!$N$5="",ISNUMBER(SEARCH(Search!$N$5,J155))),OR(Search!$N$6="",ISNUMBER(SEARCH(Search!$N$6,J155))),OR(Search!$N$7="",ISNUMBER(SEARCH(Search!$N$7,J155))),OR(Search!$N$8="",ISNUMBER(SEARCH(Search!$N$8,J155)))),1,0))</f>
        <v>0</v>
      </c>
      <c r="L155" s="1" t="n">
        <f aca="false">L154+K155</f>
        <v>0</v>
      </c>
    </row>
    <row r="156" customFormat="false" ht="15" hidden="false" customHeight="true" outlineLevel="0" collapsed="false">
      <c r="A156" s="1" t="s">
        <v>23</v>
      </c>
      <c r="B156" s="1" t="s">
        <v>355</v>
      </c>
      <c r="C156" s="1" t="n">
        <v>35</v>
      </c>
      <c r="E156" s="1" t="s">
        <v>612</v>
      </c>
      <c r="F156" s="1" t="s">
        <v>613</v>
      </c>
      <c r="G156" s="1" t="s">
        <v>613</v>
      </c>
      <c r="H156" s="1" t="s">
        <v>614</v>
      </c>
      <c r="I156" s="1" t="s">
        <v>614</v>
      </c>
      <c r="J156" s="1" t="s">
        <v>615</v>
      </c>
      <c r="K156" s="1" t="n">
        <f aca="false">IF(Search!$D$5="",0,IF(AND(OR(Search!$N$5="",ISNUMBER(SEARCH(Search!$N$5,J156))),OR(Search!$N$6="",ISNUMBER(SEARCH(Search!$N$6,J156))),OR(Search!$N$7="",ISNUMBER(SEARCH(Search!$N$7,J156))),OR(Search!$N$8="",ISNUMBER(SEARCH(Search!$N$8,J156)))),1,0))</f>
        <v>0</v>
      </c>
      <c r="L156" s="1" t="n">
        <f aca="false">L155+K156</f>
        <v>0</v>
      </c>
    </row>
    <row r="157" customFormat="false" ht="15" hidden="false" customHeight="true" outlineLevel="0" collapsed="false">
      <c r="A157" s="1" t="s">
        <v>23</v>
      </c>
      <c r="B157" s="1" t="s">
        <v>355</v>
      </c>
      <c r="C157" s="1" t="n">
        <v>36</v>
      </c>
      <c r="E157" s="1" t="s">
        <v>616</v>
      </c>
      <c r="J157" s="1" t="s">
        <v>616</v>
      </c>
      <c r="K157" s="1" t="n">
        <f aca="false">IF(Search!$D$5="",0,IF(AND(OR(Search!$N$5="",ISNUMBER(SEARCH(Search!$N$5,J157))),OR(Search!$N$6="",ISNUMBER(SEARCH(Search!$N$6,J157))),OR(Search!$N$7="",ISNUMBER(SEARCH(Search!$N$7,J157))),OR(Search!$N$8="",ISNUMBER(SEARCH(Search!$N$8,J157)))),1,0))</f>
        <v>0</v>
      </c>
      <c r="L157" s="1" t="n">
        <f aca="false">L156+K157</f>
        <v>0</v>
      </c>
    </row>
    <row r="158" customFormat="false" ht="15" hidden="false" customHeight="true" outlineLevel="0" collapsed="false">
      <c r="A158" s="1" t="s">
        <v>23</v>
      </c>
      <c r="B158" s="1" t="s">
        <v>355</v>
      </c>
      <c r="C158" s="1" t="n">
        <v>37</v>
      </c>
      <c r="E158" s="1" t="s">
        <v>617</v>
      </c>
      <c r="F158" s="1" t="s">
        <v>618</v>
      </c>
      <c r="G158" s="1" t="s">
        <v>618</v>
      </c>
      <c r="H158" s="1" t="s">
        <v>618</v>
      </c>
      <c r="I158" s="1" t="s">
        <v>618</v>
      </c>
      <c r="J158" s="1" t="s">
        <v>619</v>
      </c>
      <c r="K158" s="1" t="n">
        <f aca="false">IF(Search!$D$5="",0,IF(AND(OR(Search!$N$5="",ISNUMBER(SEARCH(Search!$N$5,J158))),OR(Search!$N$6="",ISNUMBER(SEARCH(Search!$N$6,J158))),OR(Search!$N$7="",ISNUMBER(SEARCH(Search!$N$7,J158))),OR(Search!$N$8="",ISNUMBER(SEARCH(Search!$N$8,J158)))),1,0))</f>
        <v>0</v>
      </c>
      <c r="L158" s="1" t="n">
        <f aca="false">L157+K158</f>
        <v>0</v>
      </c>
    </row>
    <row r="159" customFormat="false" ht="15" hidden="false" customHeight="true" outlineLevel="0" collapsed="false">
      <c r="A159" s="1" t="s">
        <v>23</v>
      </c>
      <c r="B159" s="1" t="s">
        <v>355</v>
      </c>
      <c r="C159" s="1" t="n">
        <v>38</v>
      </c>
      <c r="E159" s="1" t="s">
        <v>620</v>
      </c>
      <c r="F159" s="1" t="s">
        <v>621</v>
      </c>
      <c r="G159" s="1" t="s">
        <v>621</v>
      </c>
      <c r="H159" s="1" t="s">
        <v>621</v>
      </c>
      <c r="I159" s="1" t="s">
        <v>621</v>
      </c>
      <c r="J159" s="1" t="s">
        <v>622</v>
      </c>
      <c r="K159" s="1" t="n">
        <f aca="false">IF(Search!$D$5="",0,IF(AND(OR(Search!$N$5="",ISNUMBER(SEARCH(Search!$N$5,J159))),OR(Search!$N$6="",ISNUMBER(SEARCH(Search!$N$6,J159))),OR(Search!$N$7="",ISNUMBER(SEARCH(Search!$N$7,J159))),OR(Search!$N$8="",ISNUMBER(SEARCH(Search!$N$8,J159)))),1,0))</f>
        <v>0</v>
      </c>
      <c r="L159" s="1" t="n">
        <f aca="false">L158+K159</f>
        <v>0</v>
      </c>
    </row>
    <row r="160" customFormat="false" ht="15" hidden="false" customHeight="true" outlineLevel="0" collapsed="false">
      <c r="A160" s="1" t="s">
        <v>23</v>
      </c>
      <c r="B160" s="1" t="s">
        <v>355</v>
      </c>
      <c r="C160" s="1" t="n">
        <v>39</v>
      </c>
      <c r="E160" s="1" t="s">
        <v>623</v>
      </c>
      <c r="F160" s="1" t="s">
        <v>624</v>
      </c>
      <c r="G160" s="1" t="s">
        <v>624</v>
      </c>
      <c r="H160" s="1" t="s">
        <v>624</v>
      </c>
      <c r="I160" s="1" t="s">
        <v>624</v>
      </c>
      <c r="J160" s="1" t="s">
        <v>625</v>
      </c>
      <c r="K160" s="1" t="n">
        <f aca="false">IF(Search!$D$5="",0,IF(AND(OR(Search!$N$5="",ISNUMBER(SEARCH(Search!$N$5,J160))),OR(Search!$N$6="",ISNUMBER(SEARCH(Search!$N$6,J160))),OR(Search!$N$7="",ISNUMBER(SEARCH(Search!$N$7,J160))),OR(Search!$N$8="",ISNUMBER(SEARCH(Search!$N$8,J160)))),1,0))</f>
        <v>0</v>
      </c>
      <c r="L160" s="1" t="n">
        <f aca="false">L159+K160</f>
        <v>0</v>
      </c>
    </row>
    <row r="161" customFormat="false" ht="15" hidden="false" customHeight="true" outlineLevel="0" collapsed="false">
      <c r="A161" s="1" t="s">
        <v>23</v>
      </c>
      <c r="B161" s="1" t="s">
        <v>355</v>
      </c>
      <c r="C161" s="1" t="n">
        <v>40</v>
      </c>
      <c r="E161" s="1" t="s">
        <v>626</v>
      </c>
      <c r="F161" s="1" t="s">
        <v>627</v>
      </c>
      <c r="G161" s="1" t="s">
        <v>627</v>
      </c>
      <c r="H161" s="1" t="s">
        <v>627</v>
      </c>
      <c r="I161" s="1" t="s">
        <v>627</v>
      </c>
      <c r="J161" s="1" t="s">
        <v>628</v>
      </c>
      <c r="K161" s="1" t="n">
        <f aca="false">IF(Search!$D$5="",0,IF(AND(OR(Search!$N$5="",ISNUMBER(SEARCH(Search!$N$5,J161))),OR(Search!$N$6="",ISNUMBER(SEARCH(Search!$N$6,J161))),OR(Search!$N$7="",ISNUMBER(SEARCH(Search!$N$7,J161))),OR(Search!$N$8="",ISNUMBER(SEARCH(Search!$N$8,J161)))),1,0))</f>
        <v>0</v>
      </c>
      <c r="L161" s="1" t="n">
        <f aca="false">L160+K161</f>
        <v>0</v>
      </c>
    </row>
    <row r="162" customFormat="false" ht="15" hidden="false" customHeight="true" outlineLevel="0" collapsed="false">
      <c r="A162" s="1" t="s">
        <v>23</v>
      </c>
      <c r="B162" s="1" t="s">
        <v>355</v>
      </c>
      <c r="C162" s="1" t="n">
        <v>42</v>
      </c>
      <c r="E162" s="1" t="s">
        <v>629</v>
      </c>
      <c r="J162" s="1" t="s">
        <v>629</v>
      </c>
      <c r="K162" s="1" t="n">
        <f aca="false">IF(Search!$D$5="",0,IF(AND(OR(Search!$N$5="",ISNUMBER(SEARCH(Search!$N$5,J162))),OR(Search!$N$6="",ISNUMBER(SEARCH(Search!$N$6,J162))),OR(Search!$N$7="",ISNUMBER(SEARCH(Search!$N$7,J162))),OR(Search!$N$8="",ISNUMBER(SEARCH(Search!$N$8,J162)))),1,0))</f>
        <v>0</v>
      </c>
      <c r="L162" s="1" t="n">
        <f aca="false">L161+K162</f>
        <v>0</v>
      </c>
    </row>
    <row r="163" customFormat="false" ht="15" hidden="false" customHeight="true" outlineLevel="0" collapsed="false">
      <c r="A163" s="1" t="s">
        <v>24</v>
      </c>
      <c r="B163" s="1" t="s">
        <v>355</v>
      </c>
      <c r="C163" s="1" t="n">
        <v>2</v>
      </c>
      <c r="E163" s="1" t="s">
        <v>630</v>
      </c>
      <c r="J163" s="1" t="s">
        <v>630</v>
      </c>
      <c r="K163" s="1" t="n">
        <f aca="false">IF(Search!$D$5="",0,IF(AND(OR(Search!$N$5="",ISNUMBER(SEARCH(Search!$N$5,J163))),OR(Search!$N$6="",ISNUMBER(SEARCH(Search!$N$6,J163))),OR(Search!$N$7="",ISNUMBER(SEARCH(Search!$N$7,J163))),OR(Search!$N$8="",ISNUMBER(SEARCH(Search!$N$8,J163)))),1,0))</f>
        <v>0</v>
      </c>
      <c r="L163" s="1" t="n">
        <f aca="false">L162+K163</f>
        <v>0</v>
      </c>
    </row>
    <row r="164" customFormat="false" ht="15" hidden="false" customHeight="true" outlineLevel="0" collapsed="false">
      <c r="A164" s="1" t="s">
        <v>24</v>
      </c>
      <c r="B164" s="1" t="s">
        <v>355</v>
      </c>
      <c r="C164" s="1" t="n">
        <v>3</v>
      </c>
      <c r="E164" s="1" t="s">
        <v>631</v>
      </c>
      <c r="J164" s="1" t="s">
        <v>631</v>
      </c>
      <c r="K164" s="1" t="n">
        <f aca="false">IF(Search!$D$5="",0,IF(AND(OR(Search!$N$5="",ISNUMBER(SEARCH(Search!$N$5,J164))),OR(Search!$N$6="",ISNUMBER(SEARCH(Search!$N$6,J164))),OR(Search!$N$7="",ISNUMBER(SEARCH(Search!$N$7,J164))),OR(Search!$N$8="",ISNUMBER(SEARCH(Search!$N$8,J164)))),1,0))</f>
        <v>0</v>
      </c>
      <c r="L164" s="1" t="n">
        <f aca="false">L163+K164</f>
        <v>0</v>
      </c>
    </row>
    <row r="165" customFormat="false" ht="15" hidden="false" customHeight="true" outlineLevel="0" collapsed="false">
      <c r="A165" s="1" t="s">
        <v>24</v>
      </c>
      <c r="B165" s="1" t="s">
        <v>355</v>
      </c>
      <c r="C165" s="1" t="n">
        <v>5</v>
      </c>
      <c r="E165" s="1" t="s">
        <v>632</v>
      </c>
      <c r="F165" s="1" t="s">
        <v>633</v>
      </c>
      <c r="G165" s="1" t="s">
        <v>24</v>
      </c>
      <c r="H165" s="1" t="s">
        <v>634</v>
      </c>
      <c r="I165" s="1" t="s">
        <v>635</v>
      </c>
      <c r="J165" s="1" t="s">
        <v>636</v>
      </c>
      <c r="K165" s="1" t="n">
        <f aca="false">IF(Search!$D$5="",0,IF(AND(OR(Search!$N$5="",ISNUMBER(SEARCH(Search!$N$5,J165))),OR(Search!$N$6="",ISNUMBER(SEARCH(Search!$N$6,J165))),OR(Search!$N$7="",ISNUMBER(SEARCH(Search!$N$7,J165))),OR(Search!$N$8="",ISNUMBER(SEARCH(Search!$N$8,J165)))),1,0))</f>
        <v>0</v>
      </c>
      <c r="L165" s="1" t="n">
        <f aca="false">L164+K165</f>
        <v>0</v>
      </c>
    </row>
    <row r="166" customFormat="false" ht="15" hidden="false" customHeight="true" outlineLevel="0" collapsed="false">
      <c r="A166" s="1" t="s">
        <v>24</v>
      </c>
      <c r="B166" s="1" t="s">
        <v>355</v>
      </c>
      <c r="C166" s="1" t="n">
        <v>6</v>
      </c>
      <c r="E166" s="1" t="s">
        <v>358</v>
      </c>
      <c r="F166" s="1" t="s">
        <v>543</v>
      </c>
      <c r="G166" s="1" t="s">
        <v>613</v>
      </c>
      <c r="H166" s="1" t="s">
        <v>637</v>
      </c>
      <c r="I166" s="1" t="s">
        <v>638</v>
      </c>
      <c r="J166" s="1" t="s">
        <v>639</v>
      </c>
      <c r="K166" s="1" t="n">
        <f aca="false">IF(Search!$D$5="",0,IF(AND(OR(Search!$N$5="",ISNUMBER(SEARCH(Search!$N$5,J166))),OR(Search!$N$6="",ISNUMBER(SEARCH(Search!$N$6,J166))),OR(Search!$N$7="",ISNUMBER(SEARCH(Search!$N$7,J166))),OR(Search!$N$8="",ISNUMBER(SEARCH(Search!$N$8,J166)))),1,0))</f>
        <v>0</v>
      </c>
      <c r="L166" s="1" t="n">
        <f aca="false">L165+K166</f>
        <v>0</v>
      </c>
    </row>
    <row r="167" customFormat="false" ht="15" hidden="false" customHeight="true" outlineLevel="0" collapsed="false">
      <c r="A167" s="1" t="s">
        <v>24</v>
      </c>
      <c r="B167" s="1" t="s">
        <v>355</v>
      </c>
      <c r="C167" s="1" t="n">
        <v>7</v>
      </c>
      <c r="E167" s="1" t="s">
        <v>359</v>
      </c>
      <c r="F167" s="1" t="s">
        <v>544</v>
      </c>
      <c r="G167" s="1" t="s">
        <v>613</v>
      </c>
      <c r="H167" s="1" t="s">
        <v>637</v>
      </c>
      <c r="I167" s="1" t="s">
        <v>640</v>
      </c>
      <c r="J167" s="1" t="s">
        <v>641</v>
      </c>
      <c r="K167" s="1" t="n">
        <f aca="false">IF(Search!$D$5="",0,IF(AND(OR(Search!$N$5="",ISNUMBER(SEARCH(Search!$N$5,J167))),OR(Search!$N$6="",ISNUMBER(SEARCH(Search!$N$6,J167))),OR(Search!$N$7="",ISNUMBER(SEARCH(Search!$N$7,J167))),OR(Search!$N$8="",ISNUMBER(SEARCH(Search!$N$8,J167)))),1,0))</f>
        <v>0</v>
      </c>
      <c r="L167" s="1" t="n">
        <f aca="false">L166+K167</f>
        <v>0</v>
      </c>
    </row>
    <row r="168" customFormat="false" ht="15" hidden="false" customHeight="true" outlineLevel="0" collapsed="false">
      <c r="A168" s="1" t="s">
        <v>24</v>
      </c>
      <c r="B168" s="1" t="s">
        <v>355</v>
      </c>
      <c r="C168" s="1" t="n">
        <v>8</v>
      </c>
      <c r="E168" s="1" t="s">
        <v>360</v>
      </c>
      <c r="F168" s="1" t="s">
        <v>545</v>
      </c>
      <c r="G168" s="1" t="s">
        <v>614</v>
      </c>
      <c r="H168" s="1" t="s">
        <v>642</v>
      </c>
      <c r="I168" s="1" t="s">
        <v>643</v>
      </c>
      <c r="J168" s="1" t="s">
        <v>644</v>
      </c>
      <c r="K168" s="1" t="n">
        <f aca="false">IF(Search!$D$5="",0,IF(AND(OR(Search!$N$5="",ISNUMBER(SEARCH(Search!$N$5,J168))),OR(Search!$N$6="",ISNUMBER(SEARCH(Search!$N$6,J168))),OR(Search!$N$7="",ISNUMBER(SEARCH(Search!$N$7,J168))),OR(Search!$N$8="",ISNUMBER(SEARCH(Search!$N$8,J168)))),1,0))</f>
        <v>0</v>
      </c>
      <c r="L168" s="1" t="n">
        <f aca="false">L167+K168</f>
        <v>0</v>
      </c>
    </row>
    <row r="169" customFormat="false" ht="15" hidden="false" customHeight="true" outlineLevel="0" collapsed="false">
      <c r="A169" s="1" t="s">
        <v>24</v>
      </c>
      <c r="B169" s="1" t="s">
        <v>355</v>
      </c>
      <c r="C169" s="1" t="n">
        <v>9</v>
      </c>
      <c r="E169" s="1" t="s">
        <v>396</v>
      </c>
      <c r="F169" s="1" t="s">
        <v>546</v>
      </c>
      <c r="G169" s="1" t="s">
        <v>614</v>
      </c>
      <c r="H169" s="1" t="s">
        <v>645</v>
      </c>
      <c r="I169" s="1" t="s">
        <v>646</v>
      </c>
      <c r="J169" s="1" t="s">
        <v>647</v>
      </c>
      <c r="K169" s="1" t="n">
        <f aca="false">IF(Search!$D$5="",0,IF(AND(OR(Search!$N$5="",ISNUMBER(SEARCH(Search!$N$5,J169))),OR(Search!$N$6="",ISNUMBER(SEARCH(Search!$N$6,J169))),OR(Search!$N$7="",ISNUMBER(SEARCH(Search!$N$7,J169))),OR(Search!$N$8="",ISNUMBER(SEARCH(Search!$N$8,J169)))),1,0))</f>
        <v>0</v>
      </c>
      <c r="L169" s="1" t="n">
        <f aca="false">L168+K169</f>
        <v>0</v>
      </c>
    </row>
    <row r="170" customFormat="false" ht="15" hidden="false" customHeight="true" outlineLevel="0" collapsed="false">
      <c r="A170" s="1" t="s">
        <v>24</v>
      </c>
      <c r="B170" s="1" t="s">
        <v>355</v>
      </c>
      <c r="C170" s="1" t="n">
        <v>10</v>
      </c>
      <c r="E170" s="1" t="s">
        <v>648</v>
      </c>
      <c r="F170" s="1" t="s">
        <v>649</v>
      </c>
      <c r="G170" s="1" t="s">
        <v>650</v>
      </c>
      <c r="H170" s="1" t="s">
        <v>643</v>
      </c>
      <c r="I170" s="1" t="s">
        <v>651</v>
      </c>
      <c r="J170" s="1" t="s">
        <v>652</v>
      </c>
      <c r="K170" s="1" t="n">
        <f aca="false">IF(Search!$D$5="",0,IF(AND(OR(Search!$N$5="",ISNUMBER(SEARCH(Search!$N$5,J170))),OR(Search!$N$6="",ISNUMBER(SEARCH(Search!$N$6,J170))),OR(Search!$N$7="",ISNUMBER(SEARCH(Search!$N$7,J170))),OR(Search!$N$8="",ISNUMBER(SEARCH(Search!$N$8,J170)))),1,0))</f>
        <v>0</v>
      </c>
      <c r="L170" s="1" t="n">
        <f aca="false">L169+K170</f>
        <v>0</v>
      </c>
    </row>
    <row r="171" customFormat="false" ht="15" hidden="false" customHeight="true" outlineLevel="0" collapsed="false">
      <c r="A171" s="1" t="s">
        <v>24</v>
      </c>
      <c r="B171" s="1" t="s">
        <v>355</v>
      </c>
      <c r="C171" s="1" t="n">
        <v>11</v>
      </c>
      <c r="E171" s="1" t="s">
        <v>653</v>
      </c>
      <c r="F171" s="1" t="s">
        <v>654</v>
      </c>
      <c r="G171" s="1" t="s">
        <v>650</v>
      </c>
      <c r="H171" s="1" t="s">
        <v>646</v>
      </c>
      <c r="I171" s="1" t="s">
        <v>655</v>
      </c>
      <c r="J171" s="1" t="s">
        <v>656</v>
      </c>
      <c r="K171" s="1" t="n">
        <f aca="false">IF(Search!$D$5="",0,IF(AND(OR(Search!$N$5="",ISNUMBER(SEARCH(Search!$N$5,J171))),OR(Search!$N$6="",ISNUMBER(SEARCH(Search!$N$6,J171))),OR(Search!$N$7="",ISNUMBER(SEARCH(Search!$N$7,J171))),OR(Search!$N$8="",ISNUMBER(SEARCH(Search!$N$8,J171)))),1,0))</f>
        <v>0</v>
      </c>
      <c r="L171" s="1" t="n">
        <f aca="false">L170+K171</f>
        <v>0</v>
      </c>
    </row>
    <row r="172" customFormat="false" ht="15" hidden="false" customHeight="true" outlineLevel="0" collapsed="false">
      <c r="A172" s="1" t="s">
        <v>24</v>
      </c>
      <c r="B172" s="1" t="s">
        <v>355</v>
      </c>
      <c r="C172" s="1" t="n">
        <v>13</v>
      </c>
      <c r="E172" s="1" t="s">
        <v>657</v>
      </c>
      <c r="J172" s="1" t="s">
        <v>657</v>
      </c>
      <c r="K172" s="1" t="n">
        <f aca="false">IF(Search!$D$5="",0,IF(AND(OR(Search!$N$5="",ISNUMBER(SEARCH(Search!$N$5,J172))),OR(Search!$N$6="",ISNUMBER(SEARCH(Search!$N$6,J172))),OR(Search!$N$7="",ISNUMBER(SEARCH(Search!$N$7,J172))),OR(Search!$N$8="",ISNUMBER(SEARCH(Search!$N$8,J172)))),1,0))</f>
        <v>0</v>
      </c>
      <c r="L172" s="1" t="n">
        <f aca="false">L171+K172</f>
        <v>0</v>
      </c>
    </row>
    <row r="173" customFormat="false" ht="15" hidden="false" customHeight="true" outlineLevel="0" collapsed="false">
      <c r="A173" s="1" t="s">
        <v>24</v>
      </c>
      <c r="B173" s="1" t="s">
        <v>355</v>
      </c>
      <c r="C173" s="1" t="n">
        <v>15</v>
      </c>
      <c r="E173" s="1" t="s">
        <v>658</v>
      </c>
      <c r="J173" s="1" t="s">
        <v>658</v>
      </c>
      <c r="K173" s="1" t="n">
        <f aca="false">IF(Search!$D$5="",0,IF(AND(OR(Search!$N$5="",ISNUMBER(SEARCH(Search!$N$5,J173))),OR(Search!$N$6="",ISNUMBER(SEARCH(Search!$N$6,J173))),OR(Search!$N$7="",ISNUMBER(SEARCH(Search!$N$7,J173))),OR(Search!$N$8="",ISNUMBER(SEARCH(Search!$N$8,J173)))),1,0))</f>
        <v>0</v>
      </c>
      <c r="L173" s="1" t="n">
        <f aca="false">L172+K173</f>
        <v>0</v>
      </c>
    </row>
    <row r="174" customFormat="false" ht="41.25" hidden="false" customHeight="true" outlineLevel="0" collapsed="false">
      <c r="A174" s="1" t="s">
        <v>24</v>
      </c>
      <c r="B174" s="1" t="s">
        <v>355</v>
      </c>
      <c r="C174" s="1" t="n">
        <v>16</v>
      </c>
      <c r="E174" s="1" t="s">
        <v>632</v>
      </c>
      <c r="F174" s="1" t="s">
        <v>659</v>
      </c>
      <c r="G174" s="46" t="s">
        <v>660</v>
      </c>
      <c r="H174" s="1" t="s">
        <v>661</v>
      </c>
      <c r="I174" s="46" t="s">
        <v>662</v>
      </c>
      <c r="J174" s="46" t="s">
        <v>663</v>
      </c>
      <c r="K174" s="1" t="n">
        <f aca="false">IF(Search!$D$5="",0,IF(AND(OR(Search!$N$5="",ISNUMBER(SEARCH(Search!$N$5,J174))),OR(Search!$N$6="",ISNUMBER(SEARCH(Search!$N$6,J174))),OR(Search!$N$7="",ISNUMBER(SEARCH(Search!$N$7,J174))),OR(Search!$N$8="",ISNUMBER(SEARCH(Search!$N$8,J174)))),1,0))</f>
        <v>0</v>
      </c>
      <c r="L174" s="1" t="n">
        <f aca="false">L173+K174</f>
        <v>0</v>
      </c>
    </row>
    <row r="175" customFormat="false" ht="15" hidden="false" customHeight="true" outlineLevel="0" collapsed="false">
      <c r="A175" s="1" t="s">
        <v>24</v>
      </c>
      <c r="B175" s="1" t="s">
        <v>355</v>
      </c>
      <c r="C175" s="1" t="n">
        <v>17</v>
      </c>
      <c r="E175" s="1" t="s">
        <v>664</v>
      </c>
      <c r="F175" s="1" t="s">
        <v>665</v>
      </c>
      <c r="G175" s="1" t="s">
        <v>666</v>
      </c>
      <c r="H175" s="1" t="s">
        <v>637</v>
      </c>
      <c r="I175" s="1" t="s">
        <v>646</v>
      </c>
      <c r="J175" s="1" t="s">
        <v>667</v>
      </c>
      <c r="K175" s="1" t="n">
        <f aca="false">IF(Search!$D$5="",0,IF(AND(OR(Search!$N$5="",ISNUMBER(SEARCH(Search!$N$5,J175))),OR(Search!$N$6="",ISNUMBER(SEARCH(Search!$N$6,J175))),OR(Search!$N$7="",ISNUMBER(SEARCH(Search!$N$7,J175))),OR(Search!$N$8="",ISNUMBER(SEARCH(Search!$N$8,J175)))),1,0))</f>
        <v>0</v>
      </c>
      <c r="L175" s="1" t="n">
        <f aca="false">L174+K175</f>
        <v>0</v>
      </c>
    </row>
    <row r="176" customFormat="false" ht="15" hidden="false" customHeight="true" outlineLevel="0" collapsed="false">
      <c r="A176" s="1" t="s">
        <v>24</v>
      </c>
      <c r="B176" s="1" t="s">
        <v>355</v>
      </c>
      <c r="C176" s="1" t="n">
        <v>18</v>
      </c>
      <c r="E176" s="1" t="s">
        <v>668</v>
      </c>
      <c r="F176" s="1" t="s">
        <v>665</v>
      </c>
      <c r="G176" s="1" t="s">
        <v>669</v>
      </c>
      <c r="H176" s="1" t="s">
        <v>637</v>
      </c>
      <c r="I176" s="1" t="s">
        <v>646</v>
      </c>
      <c r="J176" s="1" t="s">
        <v>670</v>
      </c>
      <c r="K176" s="1" t="n">
        <f aca="false">IF(Search!$D$5="",0,IF(AND(OR(Search!$N$5="",ISNUMBER(SEARCH(Search!$N$5,J176))),OR(Search!$N$6="",ISNUMBER(SEARCH(Search!$N$6,J176))),OR(Search!$N$7="",ISNUMBER(SEARCH(Search!$N$7,J176))),OR(Search!$N$8="",ISNUMBER(SEARCH(Search!$N$8,J176)))),1,0))</f>
        <v>0</v>
      </c>
      <c r="L176" s="1" t="n">
        <f aca="false">L175+K176</f>
        <v>0</v>
      </c>
    </row>
    <row r="177" customFormat="false" ht="15" hidden="false" customHeight="true" outlineLevel="0" collapsed="false">
      <c r="A177" s="1" t="s">
        <v>24</v>
      </c>
      <c r="B177" s="1" t="s">
        <v>355</v>
      </c>
      <c r="C177" s="1" t="n">
        <v>19</v>
      </c>
      <c r="E177" s="1" t="s">
        <v>671</v>
      </c>
      <c r="F177" s="1" t="s">
        <v>672</v>
      </c>
      <c r="G177" s="1" t="s">
        <v>673</v>
      </c>
      <c r="H177" s="1" t="s">
        <v>674</v>
      </c>
      <c r="I177" s="1" t="s">
        <v>646</v>
      </c>
      <c r="J177" s="1" t="s">
        <v>675</v>
      </c>
      <c r="K177" s="1" t="n">
        <f aca="false">IF(Search!$D$5="",0,IF(AND(OR(Search!$N$5="",ISNUMBER(SEARCH(Search!$N$5,J177))),OR(Search!$N$6="",ISNUMBER(SEARCH(Search!$N$6,J177))),OR(Search!$N$7="",ISNUMBER(SEARCH(Search!$N$7,J177))),OR(Search!$N$8="",ISNUMBER(SEARCH(Search!$N$8,J177)))),1,0))</f>
        <v>0</v>
      </c>
      <c r="L177" s="1" t="n">
        <f aca="false">L176+K177</f>
        <v>0</v>
      </c>
    </row>
    <row r="178" customFormat="false" ht="15" hidden="false" customHeight="true" outlineLevel="0" collapsed="false">
      <c r="A178" s="1" t="s">
        <v>24</v>
      </c>
      <c r="B178" s="1" t="s">
        <v>355</v>
      </c>
      <c r="C178" s="1" t="n">
        <v>20</v>
      </c>
      <c r="E178" s="1" t="s">
        <v>676</v>
      </c>
      <c r="F178" s="1" t="s">
        <v>677</v>
      </c>
      <c r="G178" s="1" t="s">
        <v>678</v>
      </c>
      <c r="H178" s="1" t="s">
        <v>637</v>
      </c>
      <c r="I178" s="1" t="s">
        <v>646</v>
      </c>
      <c r="J178" s="1" t="s">
        <v>679</v>
      </c>
      <c r="K178" s="1" t="n">
        <f aca="false">IF(Search!$D$5="",0,IF(AND(OR(Search!$N$5="",ISNUMBER(SEARCH(Search!$N$5,J178))),OR(Search!$N$6="",ISNUMBER(SEARCH(Search!$N$6,J178))),OR(Search!$N$7="",ISNUMBER(SEARCH(Search!$N$7,J178))),OR(Search!$N$8="",ISNUMBER(SEARCH(Search!$N$8,J178)))),1,0))</f>
        <v>0</v>
      </c>
      <c r="L178" s="1" t="n">
        <f aca="false">L177+K178</f>
        <v>0</v>
      </c>
    </row>
    <row r="179" customFormat="false" ht="15" hidden="false" customHeight="true" outlineLevel="0" collapsed="false">
      <c r="A179" s="1" t="s">
        <v>24</v>
      </c>
      <c r="B179" s="1" t="s">
        <v>355</v>
      </c>
      <c r="C179" s="1" t="n">
        <v>22</v>
      </c>
      <c r="E179" s="1" t="s">
        <v>680</v>
      </c>
      <c r="J179" s="1" t="s">
        <v>680</v>
      </c>
      <c r="K179" s="1" t="n">
        <f aca="false">IF(Search!$D$5="",0,IF(AND(OR(Search!$N$5="",ISNUMBER(SEARCH(Search!$N$5,J179))),OR(Search!$N$6="",ISNUMBER(SEARCH(Search!$N$6,J179))),OR(Search!$N$7="",ISNUMBER(SEARCH(Search!$N$7,J179))),OR(Search!$N$8="",ISNUMBER(SEARCH(Search!$N$8,J179)))),1,0))</f>
        <v>0</v>
      </c>
      <c r="L179" s="1" t="n">
        <f aca="false">L178+K179</f>
        <v>0</v>
      </c>
    </row>
    <row r="180" customFormat="false" ht="15" hidden="false" customHeight="true" outlineLevel="0" collapsed="false">
      <c r="A180" s="1" t="s">
        <v>25</v>
      </c>
      <c r="B180" s="1" t="s">
        <v>681</v>
      </c>
      <c r="C180" s="1" t="n">
        <v>2</v>
      </c>
      <c r="E180" s="1" t="s">
        <v>682</v>
      </c>
      <c r="J180" s="1" t="s">
        <v>682</v>
      </c>
      <c r="K180" s="1" t="n">
        <f aca="false">IF(Search!$D$5="",0,IF(AND(OR(Search!$N$5="",ISNUMBER(SEARCH(Search!$N$5,J180))),OR(Search!$N$6="",ISNUMBER(SEARCH(Search!$N$6,J180))),OR(Search!$N$7="",ISNUMBER(SEARCH(Search!$N$7,J180))),OR(Search!$N$8="",ISNUMBER(SEARCH(Search!$N$8,J180)))),1,0))</f>
        <v>0</v>
      </c>
      <c r="L180" s="1" t="n">
        <f aca="false">L179+K180</f>
        <v>0</v>
      </c>
    </row>
    <row r="181" customFormat="false" ht="15" hidden="false" customHeight="true" outlineLevel="0" collapsed="false">
      <c r="A181" s="1" t="s">
        <v>25</v>
      </c>
      <c r="B181" s="1" t="s">
        <v>681</v>
      </c>
      <c r="C181" s="1" t="n">
        <v>3</v>
      </c>
      <c r="E181" s="1" t="s">
        <v>683</v>
      </c>
      <c r="J181" s="1" t="s">
        <v>683</v>
      </c>
      <c r="K181" s="1" t="n">
        <f aca="false">IF(Search!$D$5="",0,IF(AND(OR(Search!$N$5="",ISNUMBER(SEARCH(Search!$N$5,J181))),OR(Search!$N$6="",ISNUMBER(SEARCH(Search!$N$6,J181))),OR(Search!$N$7="",ISNUMBER(SEARCH(Search!$N$7,J181))),OR(Search!$N$8="",ISNUMBER(SEARCH(Search!$N$8,J181)))),1,0))</f>
        <v>0</v>
      </c>
      <c r="L181" s="1" t="n">
        <f aca="false">L180+K181</f>
        <v>0</v>
      </c>
    </row>
    <row r="182" customFormat="false" ht="41.25" hidden="false" customHeight="true" outlineLevel="0" collapsed="false">
      <c r="A182" s="1" t="s">
        <v>25</v>
      </c>
      <c r="B182" s="1" t="s">
        <v>681</v>
      </c>
      <c r="C182" s="1" t="n">
        <v>5</v>
      </c>
      <c r="E182" s="1" t="s">
        <v>684</v>
      </c>
      <c r="F182" s="1" t="s">
        <v>685</v>
      </c>
      <c r="G182" s="1" t="s">
        <v>686</v>
      </c>
      <c r="H182" s="46" t="s">
        <v>687</v>
      </c>
      <c r="I182" s="46" t="s">
        <v>688</v>
      </c>
      <c r="J182" s="46" t="s">
        <v>689</v>
      </c>
      <c r="K182" s="1" t="n">
        <f aca="false">IF(Search!$D$5="",0,IF(AND(OR(Search!$N$5="",ISNUMBER(SEARCH(Search!$N$5,J182))),OR(Search!$N$6="",ISNUMBER(SEARCH(Search!$N$6,J182))),OR(Search!$N$7="",ISNUMBER(SEARCH(Search!$N$7,J182))),OR(Search!$N$8="",ISNUMBER(SEARCH(Search!$N$8,J182)))),1,0))</f>
        <v>0</v>
      </c>
      <c r="L182" s="1" t="n">
        <f aca="false">L181+K182</f>
        <v>0</v>
      </c>
    </row>
    <row r="183" customFormat="false" ht="15" hidden="false" customHeight="true" outlineLevel="0" collapsed="false">
      <c r="A183" s="1" t="s">
        <v>25</v>
      </c>
      <c r="B183" s="1" t="s">
        <v>681</v>
      </c>
      <c r="C183" s="1" t="n">
        <v>6</v>
      </c>
      <c r="E183" s="1" t="s">
        <v>690</v>
      </c>
      <c r="F183" s="1" t="s">
        <v>358</v>
      </c>
      <c r="G183" s="1" t="s">
        <v>691</v>
      </c>
      <c r="H183" s="1" t="s">
        <v>399</v>
      </c>
      <c r="I183" s="1" t="s">
        <v>423</v>
      </c>
      <c r="J183" s="1" t="s">
        <v>692</v>
      </c>
      <c r="K183" s="1" t="n">
        <f aca="false">IF(Search!$D$5="",0,IF(AND(OR(Search!$N$5="",ISNUMBER(SEARCH(Search!$N$5,J183))),OR(Search!$N$6="",ISNUMBER(SEARCH(Search!$N$6,J183))),OR(Search!$N$7="",ISNUMBER(SEARCH(Search!$N$7,J183))),OR(Search!$N$8="",ISNUMBER(SEARCH(Search!$N$8,J183)))),1,0))</f>
        <v>0</v>
      </c>
      <c r="L183" s="1" t="n">
        <f aca="false">L182+K183</f>
        <v>0</v>
      </c>
    </row>
    <row r="184" customFormat="false" ht="15" hidden="false" customHeight="true" outlineLevel="0" collapsed="false">
      <c r="A184" s="1" t="s">
        <v>25</v>
      </c>
      <c r="B184" s="1" t="s">
        <v>681</v>
      </c>
      <c r="C184" s="1" t="n">
        <v>7</v>
      </c>
      <c r="E184" s="1" t="s">
        <v>690</v>
      </c>
      <c r="F184" s="1" t="s">
        <v>359</v>
      </c>
      <c r="G184" s="1" t="s">
        <v>693</v>
      </c>
      <c r="H184" s="1" t="s">
        <v>400</v>
      </c>
      <c r="I184" s="1" t="s">
        <v>448</v>
      </c>
      <c r="J184" s="1" t="s">
        <v>694</v>
      </c>
      <c r="K184" s="1" t="n">
        <f aca="false">IF(Search!$D$5="",0,IF(AND(OR(Search!$N$5="",ISNUMBER(SEARCH(Search!$N$5,J184))),OR(Search!$N$6="",ISNUMBER(SEARCH(Search!$N$6,J184))),OR(Search!$N$7="",ISNUMBER(SEARCH(Search!$N$7,J184))),OR(Search!$N$8="",ISNUMBER(SEARCH(Search!$N$8,J184)))),1,0))</f>
        <v>0</v>
      </c>
      <c r="L184" s="1" t="n">
        <f aca="false">L183+K184</f>
        <v>0</v>
      </c>
    </row>
    <row r="185" customFormat="false" ht="15" hidden="false" customHeight="true" outlineLevel="0" collapsed="false">
      <c r="A185" s="1" t="s">
        <v>25</v>
      </c>
      <c r="B185" s="1" t="s">
        <v>681</v>
      </c>
      <c r="C185" s="1" t="n">
        <v>8</v>
      </c>
      <c r="E185" s="1" t="s">
        <v>690</v>
      </c>
      <c r="F185" s="1" t="s">
        <v>360</v>
      </c>
      <c r="G185" s="1" t="s">
        <v>695</v>
      </c>
      <c r="H185" s="1" t="s">
        <v>401</v>
      </c>
      <c r="I185" s="1" t="s">
        <v>696</v>
      </c>
      <c r="J185" s="1" t="s">
        <v>697</v>
      </c>
      <c r="K185" s="1" t="n">
        <f aca="false">IF(Search!$D$5="",0,IF(AND(OR(Search!$N$5="",ISNUMBER(SEARCH(Search!$N$5,J185))),OR(Search!$N$6="",ISNUMBER(SEARCH(Search!$N$6,J185))),OR(Search!$N$7="",ISNUMBER(SEARCH(Search!$N$7,J185))),OR(Search!$N$8="",ISNUMBER(SEARCH(Search!$N$8,J185)))),1,0))</f>
        <v>0</v>
      </c>
      <c r="L185" s="1" t="n">
        <f aca="false">L184+K185</f>
        <v>0</v>
      </c>
    </row>
    <row r="186" customFormat="false" ht="15" hidden="false" customHeight="true" outlineLevel="0" collapsed="false">
      <c r="A186" s="1" t="s">
        <v>25</v>
      </c>
      <c r="B186" s="1" t="s">
        <v>681</v>
      </c>
      <c r="C186" s="1" t="n">
        <v>9</v>
      </c>
      <c r="E186" s="1" t="s">
        <v>690</v>
      </c>
      <c r="F186" s="1" t="s">
        <v>396</v>
      </c>
      <c r="G186" s="1" t="s">
        <v>698</v>
      </c>
      <c r="H186" s="1" t="s">
        <v>402</v>
      </c>
      <c r="I186" s="1" t="s">
        <v>699</v>
      </c>
      <c r="J186" s="1" t="s">
        <v>700</v>
      </c>
      <c r="K186" s="1" t="n">
        <f aca="false">IF(Search!$D$5="",0,IF(AND(OR(Search!$N$5="",ISNUMBER(SEARCH(Search!$N$5,J186))),OR(Search!$N$6="",ISNUMBER(SEARCH(Search!$N$6,J186))),OR(Search!$N$7="",ISNUMBER(SEARCH(Search!$N$7,J186))),OR(Search!$N$8="",ISNUMBER(SEARCH(Search!$N$8,J186)))),1,0))</f>
        <v>0</v>
      </c>
      <c r="L186" s="1" t="n">
        <f aca="false">L185+K186</f>
        <v>0</v>
      </c>
    </row>
    <row r="187" customFormat="false" ht="15" hidden="false" customHeight="true" outlineLevel="0" collapsed="false">
      <c r="A187" s="1" t="s">
        <v>25</v>
      </c>
      <c r="B187" s="1" t="s">
        <v>681</v>
      </c>
      <c r="C187" s="1" t="n">
        <v>10</v>
      </c>
      <c r="E187" s="1" t="s">
        <v>690</v>
      </c>
      <c r="F187" s="1" t="s">
        <v>648</v>
      </c>
      <c r="G187" s="1" t="s">
        <v>701</v>
      </c>
      <c r="H187" s="1" t="s">
        <v>702</v>
      </c>
      <c r="I187" s="1" t="s">
        <v>452</v>
      </c>
      <c r="J187" s="1" t="s">
        <v>703</v>
      </c>
      <c r="K187" s="1" t="n">
        <f aca="false">IF(Search!$D$5="",0,IF(AND(OR(Search!$N$5="",ISNUMBER(SEARCH(Search!$N$5,J187))),OR(Search!$N$6="",ISNUMBER(SEARCH(Search!$N$6,J187))),OR(Search!$N$7="",ISNUMBER(SEARCH(Search!$N$7,J187))),OR(Search!$N$8="",ISNUMBER(SEARCH(Search!$N$8,J187)))),1,0))</f>
        <v>0</v>
      </c>
      <c r="L187" s="1" t="n">
        <f aca="false">L186+K187</f>
        <v>0</v>
      </c>
    </row>
    <row r="188" customFormat="false" ht="15" hidden="false" customHeight="true" outlineLevel="0" collapsed="false">
      <c r="A188" s="1" t="s">
        <v>25</v>
      </c>
      <c r="B188" s="1" t="s">
        <v>681</v>
      </c>
      <c r="C188" s="1" t="n">
        <v>11</v>
      </c>
      <c r="E188" s="1" t="s">
        <v>690</v>
      </c>
      <c r="F188" s="1" t="s">
        <v>653</v>
      </c>
      <c r="G188" s="1" t="s">
        <v>704</v>
      </c>
      <c r="H188" s="1" t="s">
        <v>458</v>
      </c>
      <c r="I188" s="1" t="s">
        <v>705</v>
      </c>
      <c r="J188" s="1" t="s">
        <v>706</v>
      </c>
      <c r="K188" s="1" t="n">
        <f aca="false">IF(Search!$D$5="",0,IF(AND(OR(Search!$N$5="",ISNUMBER(SEARCH(Search!$N$5,J188))),OR(Search!$N$6="",ISNUMBER(SEARCH(Search!$N$6,J188))),OR(Search!$N$7="",ISNUMBER(SEARCH(Search!$N$7,J188))),OR(Search!$N$8="",ISNUMBER(SEARCH(Search!$N$8,J188)))),1,0))</f>
        <v>0</v>
      </c>
      <c r="L188" s="1" t="n">
        <f aca="false">L187+K188</f>
        <v>0</v>
      </c>
    </row>
    <row r="189" customFormat="false" ht="15" hidden="false" customHeight="true" outlineLevel="0" collapsed="false">
      <c r="A189" s="1" t="s">
        <v>25</v>
      </c>
      <c r="B189" s="1" t="s">
        <v>681</v>
      </c>
      <c r="C189" s="1" t="n">
        <v>12</v>
      </c>
      <c r="E189" s="1" t="s">
        <v>707</v>
      </c>
      <c r="F189" s="1" t="s">
        <v>137</v>
      </c>
      <c r="G189" s="1" t="s">
        <v>708</v>
      </c>
      <c r="H189" s="1" t="s">
        <v>621</v>
      </c>
      <c r="I189" s="1" t="s">
        <v>699</v>
      </c>
      <c r="J189" s="1" t="s">
        <v>709</v>
      </c>
      <c r="K189" s="1" t="n">
        <f aca="false">IF(Search!$D$5="",0,IF(AND(OR(Search!$N$5="",ISNUMBER(SEARCH(Search!$N$5,J189))),OR(Search!$N$6="",ISNUMBER(SEARCH(Search!$N$6,J189))),OR(Search!$N$7="",ISNUMBER(SEARCH(Search!$N$7,J189))),OR(Search!$N$8="",ISNUMBER(SEARCH(Search!$N$8,J189)))),1,0))</f>
        <v>0</v>
      </c>
      <c r="L189" s="1" t="n">
        <f aca="false">L188+K189</f>
        <v>0</v>
      </c>
    </row>
    <row r="190" customFormat="false" ht="15" hidden="false" customHeight="true" outlineLevel="0" collapsed="false">
      <c r="A190" s="1" t="s">
        <v>25</v>
      </c>
      <c r="B190" s="1" t="s">
        <v>681</v>
      </c>
      <c r="C190" s="1" t="n">
        <v>13</v>
      </c>
      <c r="E190" s="1" t="s">
        <v>707</v>
      </c>
      <c r="F190" s="1" t="s">
        <v>710</v>
      </c>
      <c r="G190" s="1" t="s">
        <v>711</v>
      </c>
      <c r="H190" s="1" t="s">
        <v>712</v>
      </c>
      <c r="I190" s="1" t="s">
        <v>458</v>
      </c>
      <c r="J190" s="1" t="s">
        <v>713</v>
      </c>
      <c r="K190" s="1" t="n">
        <f aca="false">IF(Search!$D$5="",0,IF(AND(OR(Search!$N$5="",ISNUMBER(SEARCH(Search!$N$5,J190))),OR(Search!$N$6="",ISNUMBER(SEARCH(Search!$N$6,J190))),OR(Search!$N$7="",ISNUMBER(SEARCH(Search!$N$7,J190))),OR(Search!$N$8="",ISNUMBER(SEARCH(Search!$N$8,J190)))),1,0))</f>
        <v>0</v>
      </c>
      <c r="L190" s="1" t="n">
        <f aca="false">L189+K190</f>
        <v>0</v>
      </c>
    </row>
    <row r="191" customFormat="false" ht="15" hidden="false" customHeight="true" outlineLevel="0" collapsed="false">
      <c r="A191" s="1" t="s">
        <v>25</v>
      </c>
      <c r="B191" s="1" t="s">
        <v>681</v>
      </c>
      <c r="C191" s="1" t="n">
        <v>14</v>
      </c>
      <c r="E191" s="1" t="s">
        <v>707</v>
      </c>
      <c r="F191" s="1" t="s">
        <v>714</v>
      </c>
      <c r="G191" s="1" t="s">
        <v>715</v>
      </c>
      <c r="H191" s="1" t="s">
        <v>716</v>
      </c>
      <c r="I191" s="1" t="s">
        <v>699</v>
      </c>
      <c r="J191" s="1" t="s">
        <v>717</v>
      </c>
      <c r="K191" s="1" t="n">
        <f aca="false">IF(Search!$D$5="",0,IF(AND(OR(Search!$N$5="",ISNUMBER(SEARCH(Search!$N$5,J191))),OR(Search!$N$6="",ISNUMBER(SEARCH(Search!$N$6,J191))),OR(Search!$N$7="",ISNUMBER(SEARCH(Search!$N$7,J191))),OR(Search!$N$8="",ISNUMBER(SEARCH(Search!$N$8,J191)))),1,0))</f>
        <v>0</v>
      </c>
      <c r="L191" s="1" t="n">
        <f aca="false">L190+K191</f>
        <v>0</v>
      </c>
    </row>
    <row r="192" customFormat="false" ht="15" hidden="false" customHeight="true" outlineLevel="0" collapsed="false">
      <c r="A192" s="1" t="s">
        <v>25</v>
      </c>
      <c r="B192" s="1" t="s">
        <v>681</v>
      </c>
      <c r="C192" s="1" t="n">
        <v>15</v>
      </c>
      <c r="E192" s="1" t="s">
        <v>707</v>
      </c>
      <c r="F192" s="1" t="s">
        <v>718</v>
      </c>
      <c r="G192" s="1" t="s">
        <v>719</v>
      </c>
      <c r="H192" s="1" t="s">
        <v>712</v>
      </c>
      <c r="I192" s="1" t="s">
        <v>458</v>
      </c>
      <c r="J192" s="1" t="s">
        <v>720</v>
      </c>
      <c r="K192" s="1" t="n">
        <f aca="false">IF(Search!$D$5="",0,IF(AND(OR(Search!$N$5="",ISNUMBER(SEARCH(Search!$N$5,J192))),OR(Search!$N$6="",ISNUMBER(SEARCH(Search!$N$6,J192))),OR(Search!$N$7="",ISNUMBER(SEARCH(Search!$N$7,J192))),OR(Search!$N$8="",ISNUMBER(SEARCH(Search!$N$8,J192)))),1,0))</f>
        <v>0</v>
      </c>
      <c r="L192" s="1" t="n">
        <f aca="false">L191+K192</f>
        <v>0</v>
      </c>
    </row>
    <row r="193" customFormat="false" ht="15" hidden="false" customHeight="true" outlineLevel="0" collapsed="false">
      <c r="A193" s="1" t="s">
        <v>25</v>
      </c>
      <c r="B193" s="1" t="s">
        <v>681</v>
      </c>
      <c r="C193" s="1" t="n">
        <v>16</v>
      </c>
      <c r="E193" s="1" t="s">
        <v>707</v>
      </c>
      <c r="F193" s="1" t="s">
        <v>721</v>
      </c>
      <c r="G193" s="1" t="s">
        <v>722</v>
      </c>
      <c r="H193" s="1" t="s">
        <v>723</v>
      </c>
      <c r="I193" s="1" t="s">
        <v>724</v>
      </c>
      <c r="J193" s="1" t="s">
        <v>725</v>
      </c>
      <c r="K193" s="1" t="n">
        <f aca="false">IF(Search!$D$5="",0,IF(AND(OR(Search!$N$5="",ISNUMBER(SEARCH(Search!$N$5,J193))),OR(Search!$N$6="",ISNUMBER(SEARCH(Search!$N$6,J193))),OR(Search!$N$7="",ISNUMBER(SEARCH(Search!$N$7,J193))),OR(Search!$N$8="",ISNUMBER(SEARCH(Search!$N$8,J193)))),1,0))</f>
        <v>0</v>
      </c>
      <c r="L193" s="1" t="n">
        <f aca="false">L192+K193</f>
        <v>0</v>
      </c>
    </row>
    <row r="194" customFormat="false" ht="15" hidden="false" customHeight="true" outlineLevel="0" collapsed="false">
      <c r="A194" s="1" t="s">
        <v>25</v>
      </c>
      <c r="B194" s="1" t="s">
        <v>681</v>
      </c>
      <c r="C194" s="1" t="n">
        <v>17</v>
      </c>
      <c r="E194" s="1" t="s">
        <v>726</v>
      </c>
      <c r="F194" s="1" t="s">
        <v>727</v>
      </c>
      <c r="G194" s="1" t="s">
        <v>728</v>
      </c>
      <c r="H194" s="1" t="s">
        <v>412</v>
      </c>
      <c r="I194" s="1" t="s">
        <v>729</v>
      </c>
      <c r="J194" s="1" t="s">
        <v>730</v>
      </c>
      <c r="K194" s="1" t="n">
        <f aca="false">IF(Search!$D$5="",0,IF(AND(OR(Search!$N$5="",ISNUMBER(SEARCH(Search!$N$5,J194))),OR(Search!$N$6="",ISNUMBER(SEARCH(Search!$N$6,J194))),OR(Search!$N$7="",ISNUMBER(SEARCH(Search!$N$7,J194))),OR(Search!$N$8="",ISNUMBER(SEARCH(Search!$N$8,J194)))),1,0))</f>
        <v>0</v>
      </c>
      <c r="L194" s="1" t="n">
        <f aca="false">L193+K194</f>
        <v>0</v>
      </c>
    </row>
    <row r="195" customFormat="false" ht="15" hidden="false" customHeight="true" outlineLevel="0" collapsed="false">
      <c r="A195" s="1" t="s">
        <v>25</v>
      </c>
      <c r="B195" s="1" t="s">
        <v>681</v>
      </c>
      <c r="C195" s="1" t="n">
        <v>18</v>
      </c>
      <c r="E195" s="1" t="s">
        <v>726</v>
      </c>
      <c r="F195" s="1" t="s">
        <v>727</v>
      </c>
      <c r="G195" s="1" t="s">
        <v>731</v>
      </c>
      <c r="H195" s="1" t="s">
        <v>732</v>
      </c>
      <c r="I195" s="1" t="s">
        <v>427</v>
      </c>
      <c r="J195" s="1" t="s">
        <v>733</v>
      </c>
      <c r="K195" s="1" t="n">
        <f aca="false">IF(Search!$D$5="",0,IF(AND(OR(Search!$N$5="",ISNUMBER(SEARCH(Search!$N$5,J195))),OR(Search!$N$6="",ISNUMBER(SEARCH(Search!$N$6,J195))),OR(Search!$N$7="",ISNUMBER(SEARCH(Search!$N$7,J195))),OR(Search!$N$8="",ISNUMBER(SEARCH(Search!$N$8,J195)))),1,0))</f>
        <v>0</v>
      </c>
      <c r="L195" s="1" t="n">
        <f aca="false">L194+K195</f>
        <v>0</v>
      </c>
    </row>
    <row r="196" customFormat="false" ht="15" hidden="false" customHeight="true" outlineLevel="0" collapsed="false">
      <c r="A196" s="1" t="s">
        <v>25</v>
      </c>
      <c r="B196" s="1" t="s">
        <v>681</v>
      </c>
      <c r="C196" s="1" t="n">
        <v>19</v>
      </c>
      <c r="E196" s="1" t="s">
        <v>726</v>
      </c>
      <c r="F196" s="1" t="s">
        <v>734</v>
      </c>
      <c r="G196" s="1" t="s">
        <v>735</v>
      </c>
      <c r="H196" s="1" t="s">
        <v>736</v>
      </c>
      <c r="I196" s="1" t="s">
        <v>437</v>
      </c>
      <c r="J196" s="1" t="s">
        <v>737</v>
      </c>
      <c r="K196" s="1" t="n">
        <f aca="false">IF(Search!$D$5="",0,IF(AND(OR(Search!$N$5="",ISNUMBER(SEARCH(Search!$N$5,J196))),OR(Search!$N$6="",ISNUMBER(SEARCH(Search!$N$6,J196))),OR(Search!$N$7="",ISNUMBER(SEARCH(Search!$N$7,J196))),OR(Search!$N$8="",ISNUMBER(SEARCH(Search!$N$8,J196)))),1,0))</f>
        <v>0</v>
      </c>
      <c r="L196" s="1" t="n">
        <f aca="false">L195+K196</f>
        <v>0</v>
      </c>
    </row>
    <row r="197" customFormat="false" ht="15" hidden="false" customHeight="true" outlineLevel="0" collapsed="false">
      <c r="A197" s="1" t="s">
        <v>25</v>
      </c>
      <c r="B197" s="1" t="s">
        <v>681</v>
      </c>
      <c r="C197" s="1" t="n">
        <v>20</v>
      </c>
      <c r="E197" s="1" t="s">
        <v>726</v>
      </c>
      <c r="F197" s="1" t="s">
        <v>738</v>
      </c>
      <c r="G197" s="1" t="s">
        <v>739</v>
      </c>
      <c r="H197" s="1" t="s">
        <v>740</v>
      </c>
      <c r="I197" s="1" t="s">
        <v>741</v>
      </c>
      <c r="J197" s="1" t="s">
        <v>742</v>
      </c>
      <c r="K197" s="1" t="n">
        <f aca="false">IF(Search!$D$5="",0,IF(AND(OR(Search!$N$5="",ISNUMBER(SEARCH(Search!$N$5,J197))),OR(Search!$N$6="",ISNUMBER(SEARCH(Search!$N$6,J197))),OR(Search!$N$7="",ISNUMBER(SEARCH(Search!$N$7,J197))),OR(Search!$N$8="",ISNUMBER(SEARCH(Search!$N$8,J197)))),1,0))</f>
        <v>0</v>
      </c>
      <c r="L197" s="1" t="n">
        <f aca="false">L196+K197</f>
        <v>0</v>
      </c>
    </row>
    <row r="198" customFormat="false" ht="15" hidden="false" customHeight="true" outlineLevel="0" collapsed="false">
      <c r="A198" s="1" t="s">
        <v>25</v>
      </c>
      <c r="B198" s="1" t="s">
        <v>681</v>
      </c>
      <c r="C198" s="1" t="n">
        <v>21</v>
      </c>
      <c r="E198" s="1" t="s">
        <v>726</v>
      </c>
      <c r="F198" s="1" t="s">
        <v>743</v>
      </c>
      <c r="G198" s="1" t="s">
        <v>744</v>
      </c>
      <c r="H198" s="1" t="s">
        <v>745</v>
      </c>
      <c r="I198" s="1" t="s">
        <v>732</v>
      </c>
      <c r="J198" s="1" t="s">
        <v>746</v>
      </c>
      <c r="K198" s="1" t="n">
        <f aca="false">IF(Search!$D$5="",0,IF(AND(OR(Search!$N$5="",ISNUMBER(SEARCH(Search!$N$5,J198))),OR(Search!$N$6="",ISNUMBER(SEARCH(Search!$N$6,J198))),OR(Search!$N$7="",ISNUMBER(SEARCH(Search!$N$7,J198))),OR(Search!$N$8="",ISNUMBER(SEARCH(Search!$N$8,J198)))),1,0))</f>
        <v>0</v>
      </c>
      <c r="L198" s="1" t="n">
        <f aca="false">L197+K198</f>
        <v>0</v>
      </c>
    </row>
    <row r="199" customFormat="false" ht="15" hidden="false" customHeight="true" outlineLevel="0" collapsed="false">
      <c r="A199" s="1" t="s">
        <v>25</v>
      </c>
      <c r="B199" s="1" t="s">
        <v>681</v>
      </c>
      <c r="C199" s="1" t="n">
        <v>22</v>
      </c>
      <c r="E199" s="1" t="s">
        <v>726</v>
      </c>
      <c r="F199" s="1" t="s">
        <v>747</v>
      </c>
      <c r="G199" s="1" t="s">
        <v>748</v>
      </c>
      <c r="H199" s="1" t="s">
        <v>749</v>
      </c>
      <c r="I199" s="1" t="s">
        <v>750</v>
      </c>
      <c r="J199" s="1" t="s">
        <v>751</v>
      </c>
      <c r="K199" s="1" t="n">
        <f aca="false">IF(Search!$D$5="",0,IF(AND(OR(Search!$N$5="",ISNUMBER(SEARCH(Search!$N$5,J199))),OR(Search!$N$6="",ISNUMBER(SEARCH(Search!$N$6,J199))),OR(Search!$N$7="",ISNUMBER(SEARCH(Search!$N$7,J199))),OR(Search!$N$8="",ISNUMBER(SEARCH(Search!$N$8,J199)))),1,0))</f>
        <v>0</v>
      </c>
      <c r="L199" s="1" t="n">
        <f aca="false">L198+K199</f>
        <v>0</v>
      </c>
    </row>
    <row r="200" customFormat="false" ht="15" hidden="false" customHeight="true" outlineLevel="0" collapsed="false">
      <c r="A200" s="1" t="s">
        <v>25</v>
      </c>
      <c r="B200" s="1" t="s">
        <v>681</v>
      </c>
      <c r="C200" s="1" t="n">
        <v>23</v>
      </c>
      <c r="E200" s="1" t="s">
        <v>726</v>
      </c>
      <c r="F200" s="1" t="s">
        <v>752</v>
      </c>
      <c r="G200" s="1" t="s">
        <v>753</v>
      </c>
      <c r="H200" s="1" t="s">
        <v>754</v>
      </c>
      <c r="I200" s="1" t="s">
        <v>755</v>
      </c>
      <c r="J200" s="1" t="s">
        <v>756</v>
      </c>
      <c r="K200" s="1" t="n">
        <f aca="false">IF(Search!$D$5="",0,IF(AND(OR(Search!$N$5="",ISNUMBER(SEARCH(Search!$N$5,J200))),OR(Search!$N$6="",ISNUMBER(SEARCH(Search!$N$6,J200))),OR(Search!$N$7="",ISNUMBER(SEARCH(Search!$N$7,J200))),OR(Search!$N$8="",ISNUMBER(SEARCH(Search!$N$8,J200)))),1,0))</f>
        <v>0</v>
      </c>
      <c r="L200" s="1" t="n">
        <f aca="false">L199+K200</f>
        <v>0</v>
      </c>
    </row>
    <row r="201" customFormat="false" ht="15" hidden="false" customHeight="true" outlineLevel="0" collapsed="false">
      <c r="A201" s="1" t="s">
        <v>25</v>
      </c>
      <c r="B201" s="1" t="s">
        <v>681</v>
      </c>
      <c r="C201" s="1" t="n">
        <v>24</v>
      </c>
      <c r="E201" s="1" t="s">
        <v>726</v>
      </c>
      <c r="F201" s="1" t="s">
        <v>757</v>
      </c>
      <c r="G201" s="1" t="s">
        <v>758</v>
      </c>
      <c r="H201" s="1" t="s">
        <v>759</v>
      </c>
      <c r="I201" s="1" t="s">
        <v>457</v>
      </c>
      <c r="J201" s="1" t="s">
        <v>760</v>
      </c>
      <c r="K201" s="1" t="n">
        <f aca="false">IF(Search!$D$5="",0,IF(AND(OR(Search!$N$5="",ISNUMBER(SEARCH(Search!$N$5,J201))),OR(Search!$N$6="",ISNUMBER(SEARCH(Search!$N$6,J201))),OR(Search!$N$7="",ISNUMBER(SEARCH(Search!$N$7,J201))),OR(Search!$N$8="",ISNUMBER(SEARCH(Search!$N$8,J201)))),1,0))</f>
        <v>0</v>
      </c>
      <c r="L201" s="1" t="n">
        <f aca="false">L200+K201</f>
        <v>0</v>
      </c>
    </row>
    <row r="202" customFormat="false" ht="15" hidden="false" customHeight="true" outlineLevel="0" collapsed="false">
      <c r="A202" s="1" t="s">
        <v>25</v>
      </c>
      <c r="B202" s="1" t="s">
        <v>681</v>
      </c>
      <c r="C202" s="1" t="n">
        <v>26</v>
      </c>
      <c r="E202" s="1" t="s">
        <v>761</v>
      </c>
      <c r="J202" s="1" t="s">
        <v>761</v>
      </c>
      <c r="K202" s="1" t="n">
        <f aca="false">IF(Search!$D$5="",0,IF(AND(OR(Search!$N$5="",ISNUMBER(SEARCH(Search!$N$5,J202))),OR(Search!$N$6="",ISNUMBER(SEARCH(Search!$N$6,J202))),OR(Search!$N$7="",ISNUMBER(SEARCH(Search!$N$7,J202))),OR(Search!$N$8="",ISNUMBER(SEARCH(Search!$N$8,J202)))),1,0))</f>
        <v>0</v>
      </c>
      <c r="L202" s="1" t="n">
        <f aca="false">L201+K202</f>
        <v>0</v>
      </c>
    </row>
    <row r="203" customFormat="false" ht="15" hidden="false" customHeight="true" outlineLevel="0" collapsed="false">
      <c r="A203" s="1" t="s">
        <v>26</v>
      </c>
      <c r="B203" s="1" t="s">
        <v>681</v>
      </c>
      <c r="C203" s="1" t="n">
        <v>2</v>
      </c>
      <c r="E203" s="1" t="s">
        <v>762</v>
      </c>
      <c r="J203" s="1" t="s">
        <v>762</v>
      </c>
      <c r="K203" s="1" t="n">
        <f aca="false">IF(Search!$D$5="",0,IF(AND(OR(Search!$N$5="",ISNUMBER(SEARCH(Search!$N$5,J203))),OR(Search!$N$6="",ISNUMBER(SEARCH(Search!$N$6,J203))),OR(Search!$N$7="",ISNUMBER(SEARCH(Search!$N$7,J203))),OR(Search!$N$8="",ISNUMBER(SEARCH(Search!$N$8,J203)))),1,0))</f>
        <v>0</v>
      </c>
      <c r="L203" s="1" t="n">
        <f aca="false">L202+K203</f>
        <v>0</v>
      </c>
    </row>
    <row r="204" customFormat="false" ht="15" hidden="false" customHeight="true" outlineLevel="0" collapsed="false">
      <c r="A204" s="1" t="s">
        <v>26</v>
      </c>
      <c r="B204" s="1" t="s">
        <v>681</v>
      </c>
      <c r="C204" s="1" t="n">
        <v>3</v>
      </c>
      <c r="E204" s="1" t="s">
        <v>763</v>
      </c>
      <c r="J204" s="1" t="s">
        <v>763</v>
      </c>
      <c r="K204" s="1" t="n">
        <f aca="false">IF(Search!$D$5="",0,IF(AND(OR(Search!$N$5="",ISNUMBER(SEARCH(Search!$N$5,J204))),OR(Search!$N$6="",ISNUMBER(SEARCH(Search!$N$6,J204))),OR(Search!$N$7="",ISNUMBER(SEARCH(Search!$N$7,J204))),OR(Search!$N$8="",ISNUMBER(SEARCH(Search!$N$8,J204)))),1,0))</f>
        <v>0</v>
      </c>
      <c r="L204" s="1" t="n">
        <f aca="false">L203+K204</f>
        <v>0</v>
      </c>
    </row>
    <row r="205" customFormat="false" ht="54.75" hidden="false" customHeight="true" outlineLevel="0" collapsed="false">
      <c r="A205" s="1" t="s">
        <v>26</v>
      </c>
      <c r="B205" s="1" t="s">
        <v>681</v>
      </c>
      <c r="C205" s="1" t="n">
        <v>5</v>
      </c>
      <c r="E205" s="1" t="s">
        <v>685</v>
      </c>
      <c r="F205" s="1" t="s">
        <v>684</v>
      </c>
      <c r="G205" s="46" t="s">
        <v>764</v>
      </c>
      <c r="H205" s="46" t="s">
        <v>765</v>
      </c>
      <c r="I205" s="46" t="s">
        <v>766</v>
      </c>
      <c r="J205" s="46" t="s">
        <v>767</v>
      </c>
      <c r="K205" s="1" t="n">
        <f aca="false">IF(Search!$D$5="",0,IF(AND(OR(Search!$N$5="",ISNUMBER(SEARCH(Search!$N$5,J205))),OR(Search!$N$6="",ISNUMBER(SEARCH(Search!$N$6,J205))),OR(Search!$N$7="",ISNUMBER(SEARCH(Search!$N$7,J205))),OR(Search!$N$8="",ISNUMBER(SEARCH(Search!$N$8,J205)))),1,0))</f>
        <v>0</v>
      </c>
      <c r="L205" s="1" t="n">
        <f aca="false">L204+K205</f>
        <v>0</v>
      </c>
    </row>
    <row r="206" customFormat="false" ht="15" hidden="false" customHeight="true" outlineLevel="0" collapsed="false">
      <c r="A206" s="1" t="s">
        <v>26</v>
      </c>
      <c r="B206" s="1" t="s">
        <v>681</v>
      </c>
      <c r="C206" s="1" t="n">
        <v>6</v>
      </c>
      <c r="E206" s="1" t="s">
        <v>358</v>
      </c>
      <c r="F206" s="1" t="s">
        <v>690</v>
      </c>
      <c r="G206" s="1" t="s">
        <v>399</v>
      </c>
      <c r="H206" s="1" t="s">
        <v>618</v>
      </c>
      <c r="I206" s="1" t="s">
        <v>621</v>
      </c>
      <c r="J206" s="1" t="s">
        <v>768</v>
      </c>
      <c r="K206" s="1" t="n">
        <f aca="false">IF(Search!$D$5="",0,IF(AND(OR(Search!$N$5="",ISNUMBER(SEARCH(Search!$N$5,J206))),OR(Search!$N$6="",ISNUMBER(SEARCH(Search!$N$6,J206))),OR(Search!$N$7="",ISNUMBER(SEARCH(Search!$N$7,J206))),OR(Search!$N$8="",ISNUMBER(SEARCH(Search!$N$8,J206)))),1,0))</f>
        <v>0</v>
      </c>
      <c r="L206" s="1" t="n">
        <f aca="false">L205+K206</f>
        <v>0</v>
      </c>
    </row>
    <row r="207" customFormat="false" ht="15" hidden="false" customHeight="true" outlineLevel="0" collapsed="false">
      <c r="A207" s="1" t="s">
        <v>26</v>
      </c>
      <c r="B207" s="1" t="s">
        <v>681</v>
      </c>
      <c r="C207" s="1" t="n">
        <v>7</v>
      </c>
      <c r="E207" s="1" t="s">
        <v>359</v>
      </c>
      <c r="F207" s="1" t="s">
        <v>690</v>
      </c>
      <c r="G207" s="1" t="s">
        <v>400</v>
      </c>
      <c r="H207" s="1" t="s">
        <v>618</v>
      </c>
      <c r="I207" s="1" t="s">
        <v>621</v>
      </c>
      <c r="J207" s="1" t="s">
        <v>769</v>
      </c>
      <c r="K207" s="1" t="n">
        <f aca="false">IF(Search!$D$5="",0,IF(AND(OR(Search!$N$5="",ISNUMBER(SEARCH(Search!$N$5,J207))),OR(Search!$N$6="",ISNUMBER(SEARCH(Search!$N$6,J207))),OR(Search!$N$7="",ISNUMBER(SEARCH(Search!$N$7,J207))),OR(Search!$N$8="",ISNUMBER(SEARCH(Search!$N$8,J207)))),1,0))</f>
        <v>0</v>
      </c>
      <c r="L207" s="1" t="n">
        <f aca="false">L206+K207</f>
        <v>0</v>
      </c>
    </row>
    <row r="208" customFormat="false" ht="15" hidden="false" customHeight="true" outlineLevel="0" collapsed="false">
      <c r="A208" s="1" t="s">
        <v>26</v>
      </c>
      <c r="B208" s="1" t="s">
        <v>681</v>
      </c>
      <c r="C208" s="1" t="n">
        <v>8</v>
      </c>
      <c r="E208" s="1" t="s">
        <v>360</v>
      </c>
      <c r="F208" s="1" t="s">
        <v>690</v>
      </c>
      <c r="G208" s="1" t="s">
        <v>401</v>
      </c>
      <c r="H208" s="1" t="s">
        <v>618</v>
      </c>
      <c r="I208" s="1" t="s">
        <v>621</v>
      </c>
      <c r="J208" s="1" t="s">
        <v>770</v>
      </c>
      <c r="K208" s="1" t="n">
        <f aca="false">IF(Search!$D$5="",0,IF(AND(OR(Search!$N$5="",ISNUMBER(SEARCH(Search!$N$5,J208))),OR(Search!$N$6="",ISNUMBER(SEARCH(Search!$N$6,J208))),OR(Search!$N$7="",ISNUMBER(SEARCH(Search!$N$7,J208))),OR(Search!$N$8="",ISNUMBER(SEARCH(Search!$N$8,J208)))),1,0))</f>
        <v>0</v>
      </c>
      <c r="L208" s="1" t="n">
        <f aca="false">L207+K208</f>
        <v>0</v>
      </c>
    </row>
    <row r="209" customFormat="false" ht="15" hidden="false" customHeight="true" outlineLevel="0" collapsed="false">
      <c r="A209" s="1" t="s">
        <v>26</v>
      </c>
      <c r="B209" s="1" t="s">
        <v>681</v>
      </c>
      <c r="C209" s="1" t="n">
        <v>9</v>
      </c>
      <c r="E209" s="1" t="s">
        <v>648</v>
      </c>
      <c r="F209" s="1" t="s">
        <v>690</v>
      </c>
      <c r="G209" s="1" t="s">
        <v>702</v>
      </c>
      <c r="H209" s="1" t="s">
        <v>618</v>
      </c>
      <c r="I209" s="1" t="s">
        <v>621</v>
      </c>
      <c r="J209" s="1" t="s">
        <v>771</v>
      </c>
      <c r="K209" s="1" t="n">
        <f aca="false">IF(Search!$D$5="",0,IF(AND(OR(Search!$N$5="",ISNUMBER(SEARCH(Search!$N$5,J209))),OR(Search!$N$6="",ISNUMBER(SEARCH(Search!$N$6,J209))),OR(Search!$N$7="",ISNUMBER(SEARCH(Search!$N$7,J209))),OR(Search!$N$8="",ISNUMBER(SEARCH(Search!$N$8,J209)))),1,0))</f>
        <v>0</v>
      </c>
      <c r="L209" s="1" t="n">
        <f aca="false">L208+K209</f>
        <v>0</v>
      </c>
    </row>
    <row r="210" customFormat="false" ht="15" hidden="false" customHeight="true" outlineLevel="0" collapsed="false">
      <c r="A210" s="1" t="s">
        <v>26</v>
      </c>
      <c r="B210" s="1" t="s">
        <v>681</v>
      </c>
      <c r="C210" s="1" t="n">
        <v>10</v>
      </c>
      <c r="E210" s="1" t="s">
        <v>653</v>
      </c>
      <c r="F210" s="1" t="s">
        <v>690</v>
      </c>
      <c r="G210" s="1" t="s">
        <v>458</v>
      </c>
      <c r="H210" s="1" t="s">
        <v>618</v>
      </c>
      <c r="I210" s="1" t="s">
        <v>621</v>
      </c>
      <c r="J210" s="1" t="s">
        <v>772</v>
      </c>
      <c r="K210" s="1" t="n">
        <f aca="false">IF(Search!$D$5="",0,IF(AND(OR(Search!$N$5="",ISNUMBER(SEARCH(Search!$N$5,J210))),OR(Search!$N$6="",ISNUMBER(SEARCH(Search!$N$6,J210))),OR(Search!$N$7="",ISNUMBER(SEARCH(Search!$N$7,J210))),OR(Search!$N$8="",ISNUMBER(SEARCH(Search!$N$8,J210)))),1,0))</f>
        <v>0</v>
      </c>
      <c r="L210" s="1" t="n">
        <f aca="false">L209+K210</f>
        <v>0</v>
      </c>
    </row>
    <row r="211" customFormat="false" ht="15" hidden="false" customHeight="true" outlineLevel="0" collapsed="false">
      <c r="A211" s="1" t="s">
        <v>26</v>
      </c>
      <c r="B211" s="1" t="s">
        <v>681</v>
      </c>
      <c r="C211" s="1" t="n">
        <v>11</v>
      </c>
      <c r="E211" s="1" t="s">
        <v>137</v>
      </c>
      <c r="F211" s="1" t="s">
        <v>707</v>
      </c>
      <c r="G211" s="1" t="s">
        <v>621</v>
      </c>
      <c r="H211" s="1" t="s">
        <v>773</v>
      </c>
      <c r="I211" s="1" t="s">
        <v>712</v>
      </c>
      <c r="J211" s="1" t="s">
        <v>774</v>
      </c>
      <c r="K211" s="1" t="n">
        <f aca="false">IF(Search!$D$5="",0,IF(AND(OR(Search!$N$5="",ISNUMBER(SEARCH(Search!$N$5,J211))),OR(Search!$N$6="",ISNUMBER(SEARCH(Search!$N$6,J211))),OR(Search!$N$7="",ISNUMBER(SEARCH(Search!$N$7,J211))),OR(Search!$N$8="",ISNUMBER(SEARCH(Search!$N$8,J211)))),1,0))</f>
        <v>0</v>
      </c>
      <c r="L211" s="1" t="n">
        <f aca="false">L210+K211</f>
        <v>0</v>
      </c>
    </row>
    <row r="212" customFormat="false" ht="15" hidden="false" customHeight="true" outlineLevel="0" collapsed="false">
      <c r="A212" s="1" t="s">
        <v>26</v>
      </c>
      <c r="B212" s="1" t="s">
        <v>681</v>
      </c>
      <c r="C212" s="1" t="n">
        <v>12</v>
      </c>
      <c r="E212" s="1" t="s">
        <v>714</v>
      </c>
      <c r="F212" s="1" t="s">
        <v>707</v>
      </c>
      <c r="G212" s="1" t="s">
        <v>716</v>
      </c>
      <c r="H212" s="1" t="s">
        <v>775</v>
      </c>
      <c r="I212" s="1" t="s">
        <v>712</v>
      </c>
      <c r="J212" s="1" t="s">
        <v>776</v>
      </c>
      <c r="K212" s="1" t="n">
        <f aca="false">IF(Search!$D$5="",0,IF(AND(OR(Search!$N$5="",ISNUMBER(SEARCH(Search!$N$5,J212))),OR(Search!$N$6="",ISNUMBER(SEARCH(Search!$N$6,J212))),OR(Search!$N$7="",ISNUMBER(SEARCH(Search!$N$7,J212))),OR(Search!$N$8="",ISNUMBER(SEARCH(Search!$N$8,J212)))),1,0))</f>
        <v>0</v>
      </c>
      <c r="L212" s="1" t="n">
        <f aca="false">L211+K212</f>
        <v>0</v>
      </c>
    </row>
    <row r="213" customFormat="false" ht="15" hidden="false" customHeight="true" outlineLevel="0" collapsed="false">
      <c r="A213" s="1" t="s">
        <v>26</v>
      </c>
      <c r="B213" s="1" t="s">
        <v>681</v>
      </c>
      <c r="C213" s="1" t="n">
        <v>13</v>
      </c>
      <c r="E213" s="1" t="s">
        <v>721</v>
      </c>
      <c r="F213" s="1" t="s">
        <v>707</v>
      </c>
      <c r="G213" s="1" t="s">
        <v>723</v>
      </c>
      <c r="H213" s="1" t="s">
        <v>777</v>
      </c>
      <c r="I213" s="1" t="s">
        <v>712</v>
      </c>
      <c r="J213" s="1" t="s">
        <v>778</v>
      </c>
      <c r="K213" s="1" t="n">
        <f aca="false">IF(Search!$D$5="",0,IF(AND(OR(Search!$N$5="",ISNUMBER(SEARCH(Search!$N$5,J213))),OR(Search!$N$6="",ISNUMBER(SEARCH(Search!$N$6,J213))),OR(Search!$N$7="",ISNUMBER(SEARCH(Search!$N$7,J213))),OR(Search!$N$8="",ISNUMBER(SEARCH(Search!$N$8,J213)))),1,0))</f>
        <v>0</v>
      </c>
      <c r="L213" s="1" t="n">
        <f aca="false">L212+K213</f>
        <v>0</v>
      </c>
    </row>
    <row r="214" customFormat="false" ht="15" hidden="false" customHeight="true" outlineLevel="0" collapsed="false">
      <c r="A214" s="1" t="s">
        <v>26</v>
      </c>
      <c r="B214" s="1" t="s">
        <v>681</v>
      </c>
      <c r="C214" s="1" t="n">
        <v>14</v>
      </c>
      <c r="E214" s="1" t="s">
        <v>727</v>
      </c>
      <c r="F214" s="1" t="s">
        <v>726</v>
      </c>
      <c r="G214" s="1" t="s">
        <v>412</v>
      </c>
      <c r="H214" s="1" t="s">
        <v>779</v>
      </c>
      <c r="I214" s="1" t="s">
        <v>780</v>
      </c>
      <c r="J214" s="1" t="s">
        <v>781</v>
      </c>
      <c r="K214" s="1" t="n">
        <f aca="false">IF(Search!$D$5="",0,IF(AND(OR(Search!$N$5="",ISNUMBER(SEARCH(Search!$N$5,J214))),OR(Search!$N$6="",ISNUMBER(SEARCH(Search!$N$6,J214))),OR(Search!$N$7="",ISNUMBER(SEARCH(Search!$N$7,J214))),OR(Search!$N$8="",ISNUMBER(SEARCH(Search!$N$8,J214)))),1,0))</f>
        <v>0</v>
      </c>
      <c r="L214" s="1" t="n">
        <f aca="false">L213+K214</f>
        <v>0</v>
      </c>
    </row>
    <row r="215" customFormat="false" ht="15" hidden="false" customHeight="true" outlineLevel="0" collapsed="false">
      <c r="A215" s="1" t="s">
        <v>26</v>
      </c>
      <c r="B215" s="1" t="s">
        <v>681</v>
      </c>
      <c r="C215" s="1" t="n">
        <v>15</v>
      </c>
      <c r="E215" s="1" t="s">
        <v>738</v>
      </c>
      <c r="F215" s="1" t="s">
        <v>726</v>
      </c>
      <c r="G215" s="1" t="s">
        <v>740</v>
      </c>
      <c r="H215" s="1" t="s">
        <v>779</v>
      </c>
      <c r="I215" s="1" t="s">
        <v>782</v>
      </c>
      <c r="J215" s="1" t="s">
        <v>783</v>
      </c>
      <c r="K215" s="1" t="n">
        <f aca="false">IF(Search!$D$5="",0,IF(AND(OR(Search!$N$5="",ISNUMBER(SEARCH(Search!$N$5,J215))),OR(Search!$N$6="",ISNUMBER(SEARCH(Search!$N$6,J215))),OR(Search!$N$7="",ISNUMBER(SEARCH(Search!$N$7,J215))),OR(Search!$N$8="",ISNUMBER(SEARCH(Search!$N$8,J215)))),1,0))</f>
        <v>0</v>
      </c>
      <c r="L215" s="1" t="n">
        <f aca="false">L214+K215</f>
        <v>0</v>
      </c>
    </row>
    <row r="216" customFormat="false" ht="15" hidden="false" customHeight="true" outlineLevel="0" collapsed="false">
      <c r="A216" s="1" t="s">
        <v>26</v>
      </c>
      <c r="B216" s="1" t="s">
        <v>681</v>
      </c>
      <c r="C216" s="1" t="n">
        <v>16</v>
      </c>
      <c r="E216" s="1" t="s">
        <v>747</v>
      </c>
      <c r="F216" s="1" t="s">
        <v>726</v>
      </c>
      <c r="G216" s="1" t="s">
        <v>749</v>
      </c>
      <c r="H216" s="1" t="s">
        <v>784</v>
      </c>
      <c r="I216" s="1" t="s">
        <v>780</v>
      </c>
      <c r="J216" s="1" t="s">
        <v>785</v>
      </c>
      <c r="K216" s="1" t="n">
        <f aca="false">IF(Search!$D$5="",0,IF(AND(OR(Search!$N$5="",ISNUMBER(SEARCH(Search!$N$5,J216))),OR(Search!$N$6="",ISNUMBER(SEARCH(Search!$N$6,J216))),OR(Search!$N$7="",ISNUMBER(SEARCH(Search!$N$7,J216))),OR(Search!$N$8="",ISNUMBER(SEARCH(Search!$N$8,J216)))),1,0))</f>
        <v>0</v>
      </c>
      <c r="L216" s="1" t="n">
        <f aca="false">L215+K216</f>
        <v>0</v>
      </c>
    </row>
    <row r="217" customFormat="false" ht="15" hidden="false" customHeight="true" outlineLevel="0" collapsed="false">
      <c r="A217" s="1" t="s">
        <v>26</v>
      </c>
      <c r="B217" s="1" t="s">
        <v>681</v>
      </c>
      <c r="C217" s="1" t="n">
        <v>17</v>
      </c>
      <c r="E217" s="1" t="s">
        <v>757</v>
      </c>
      <c r="F217" s="1" t="s">
        <v>726</v>
      </c>
      <c r="G217" s="1" t="s">
        <v>759</v>
      </c>
      <c r="H217" s="1" t="s">
        <v>786</v>
      </c>
      <c r="I217" s="1" t="s">
        <v>787</v>
      </c>
      <c r="J217" s="1" t="s">
        <v>788</v>
      </c>
      <c r="K217" s="1" t="n">
        <f aca="false">IF(Search!$D$5="",0,IF(AND(OR(Search!$N$5="",ISNUMBER(SEARCH(Search!$N$5,J217))),OR(Search!$N$6="",ISNUMBER(SEARCH(Search!$N$6,J217))),OR(Search!$N$7="",ISNUMBER(SEARCH(Search!$N$7,J217))),OR(Search!$N$8="",ISNUMBER(SEARCH(Search!$N$8,J217)))),1,0))</f>
        <v>0</v>
      </c>
      <c r="L217" s="1" t="n">
        <f aca="false">L216+K217</f>
        <v>0</v>
      </c>
    </row>
    <row r="218" customFormat="false" ht="15" hidden="false" customHeight="true" outlineLevel="0" collapsed="false">
      <c r="A218" s="1" t="s">
        <v>26</v>
      </c>
      <c r="B218" s="1" t="s">
        <v>681</v>
      </c>
      <c r="C218" s="1" t="n">
        <v>19</v>
      </c>
      <c r="E218" s="1" t="s">
        <v>789</v>
      </c>
      <c r="J218" s="1" t="s">
        <v>789</v>
      </c>
      <c r="K218" s="1" t="n">
        <f aca="false">IF(Search!$D$5="",0,IF(AND(OR(Search!$N$5="",ISNUMBER(SEARCH(Search!$N$5,J218))),OR(Search!$N$6="",ISNUMBER(SEARCH(Search!$N$6,J218))),OR(Search!$N$7="",ISNUMBER(SEARCH(Search!$N$7,J218))),OR(Search!$N$8="",ISNUMBER(SEARCH(Search!$N$8,J218)))),1,0))</f>
        <v>0</v>
      </c>
      <c r="L218" s="1" t="n">
        <f aca="false">L217+K218</f>
        <v>0</v>
      </c>
    </row>
    <row r="219" customFormat="false" ht="15" hidden="false" customHeight="true" outlineLevel="0" collapsed="false">
      <c r="A219" s="1" t="s">
        <v>26</v>
      </c>
      <c r="B219" s="1" t="s">
        <v>681</v>
      </c>
      <c r="C219" s="1" t="n">
        <v>20</v>
      </c>
      <c r="E219" s="1" t="s">
        <v>790</v>
      </c>
      <c r="J219" s="1" t="s">
        <v>790</v>
      </c>
      <c r="K219" s="1" t="n">
        <f aca="false">IF(Search!$D$5="",0,IF(AND(OR(Search!$N$5="",ISNUMBER(SEARCH(Search!$N$5,J219))),OR(Search!$N$6="",ISNUMBER(SEARCH(Search!$N$6,J219))),OR(Search!$N$7="",ISNUMBER(SEARCH(Search!$N$7,J219))),OR(Search!$N$8="",ISNUMBER(SEARCH(Search!$N$8,J219)))),1,0))</f>
        <v>0</v>
      </c>
      <c r="L219" s="1" t="n">
        <f aca="false">L218+K219</f>
        <v>0</v>
      </c>
    </row>
    <row r="220" customFormat="false" ht="15" hidden="false" customHeight="true" outlineLevel="0" collapsed="false">
      <c r="A220" s="1" t="s">
        <v>27</v>
      </c>
      <c r="B220" s="1" t="s">
        <v>229</v>
      </c>
      <c r="C220" s="1" t="n">
        <v>2</v>
      </c>
      <c r="E220" s="1" t="s">
        <v>791</v>
      </c>
      <c r="J220" s="1" t="s">
        <v>791</v>
      </c>
      <c r="K220" s="1" t="n">
        <f aca="false">IF(Search!$D$5="",0,IF(AND(OR(Search!$N$5="",ISNUMBER(SEARCH(Search!$N$5,J220))),OR(Search!$N$6="",ISNUMBER(SEARCH(Search!$N$6,J220))),OR(Search!$N$7="",ISNUMBER(SEARCH(Search!$N$7,J220))),OR(Search!$N$8="",ISNUMBER(SEARCH(Search!$N$8,J220)))),1,0))</f>
        <v>0</v>
      </c>
      <c r="L220" s="1" t="n">
        <f aca="false">L219+K220</f>
        <v>0</v>
      </c>
    </row>
    <row r="221" customFormat="false" ht="15" hidden="false" customHeight="true" outlineLevel="0" collapsed="false">
      <c r="A221" s="1" t="s">
        <v>27</v>
      </c>
      <c r="B221" s="1" t="s">
        <v>229</v>
      </c>
      <c r="C221" s="1" t="n">
        <v>3</v>
      </c>
      <c r="E221" s="1" t="s">
        <v>792</v>
      </c>
      <c r="J221" s="1" t="s">
        <v>792</v>
      </c>
      <c r="K221" s="1" t="n">
        <f aca="false">IF(Search!$D$5="",0,IF(AND(OR(Search!$N$5="",ISNUMBER(SEARCH(Search!$N$5,J221))),OR(Search!$N$6="",ISNUMBER(SEARCH(Search!$N$6,J221))),OR(Search!$N$7="",ISNUMBER(SEARCH(Search!$N$7,J221))),OR(Search!$N$8="",ISNUMBER(SEARCH(Search!$N$8,J221)))),1,0))</f>
        <v>0</v>
      </c>
      <c r="L221" s="1" t="n">
        <f aca="false">L220+K221</f>
        <v>0</v>
      </c>
    </row>
    <row r="222" customFormat="false" ht="15" hidden="false" customHeight="true" outlineLevel="0" collapsed="false">
      <c r="A222" s="1" t="s">
        <v>27</v>
      </c>
      <c r="B222" s="1" t="s">
        <v>229</v>
      </c>
      <c r="C222" s="1" t="n">
        <v>5</v>
      </c>
      <c r="E222" s="1" t="s">
        <v>793</v>
      </c>
      <c r="J222" s="1" t="s">
        <v>793</v>
      </c>
      <c r="K222" s="1" t="n">
        <f aca="false">IF(Search!$D$5="",0,IF(AND(OR(Search!$N$5="",ISNUMBER(SEARCH(Search!$N$5,J222))),OR(Search!$N$6="",ISNUMBER(SEARCH(Search!$N$6,J222))),OR(Search!$N$7="",ISNUMBER(SEARCH(Search!$N$7,J222))),OR(Search!$N$8="",ISNUMBER(SEARCH(Search!$N$8,J222)))),1,0))</f>
        <v>0</v>
      </c>
      <c r="L222" s="1" t="n">
        <f aca="false">L221+K222</f>
        <v>0</v>
      </c>
    </row>
    <row r="223" customFormat="false" ht="54.75" hidden="false" customHeight="true" outlineLevel="0" collapsed="false">
      <c r="A223" s="1" t="s">
        <v>27</v>
      </c>
      <c r="B223" s="1" t="s">
        <v>229</v>
      </c>
      <c r="C223" s="1" t="n">
        <v>6</v>
      </c>
      <c r="E223" s="1" t="s">
        <v>794</v>
      </c>
      <c r="F223" s="46" t="s">
        <v>795</v>
      </c>
      <c r="G223" s="46" t="s">
        <v>796</v>
      </c>
      <c r="H223" s="46" t="s">
        <v>797</v>
      </c>
      <c r="J223" s="46" t="s">
        <v>798</v>
      </c>
      <c r="K223" s="1" t="n">
        <f aca="false">IF(Search!$D$5="",0,IF(AND(OR(Search!$N$5="",ISNUMBER(SEARCH(Search!$N$5,J223))),OR(Search!$N$6="",ISNUMBER(SEARCH(Search!$N$6,J223))),OR(Search!$N$7="",ISNUMBER(SEARCH(Search!$N$7,J223))),OR(Search!$N$8="",ISNUMBER(SEARCH(Search!$N$8,J223)))),1,0))</f>
        <v>0</v>
      </c>
      <c r="L223" s="1" t="n">
        <f aca="false">L222+K223</f>
        <v>0</v>
      </c>
    </row>
    <row r="224" customFormat="false" ht="27.75" hidden="false" customHeight="true" outlineLevel="0" collapsed="false">
      <c r="A224" s="1" t="s">
        <v>27</v>
      </c>
      <c r="B224" s="1" t="s">
        <v>229</v>
      </c>
      <c r="C224" s="1" t="n">
        <v>7</v>
      </c>
      <c r="E224" s="1" t="s">
        <v>799</v>
      </c>
      <c r="F224" s="1" t="s">
        <v>800</v>
      </c>
      <c r="G224" s="46" t="s">
        <v>801</v>
      </c>
      <c r="H224" s="1" t="s">
        <v>802</v>
      </c>
      <c r="J224" s="46" t="s">
        <v>803</v>
      </c>
      <c r="K224" s="1" t="n">
        <f aca="false">IF(Search!$D$5="",0,IF(AND(OR(Search!$N$5="",ISNUMBER(SEARCH(Search!$N$5,J224))),OR(Search!$N$6="",ISNUMBER(SEARCH(Search!$N$6,J224))),OR(Search!$N$7="",ISNUMBER(SEARCH(Search!$N$7,J224))),OR(Search!$N$8="",ISNUMBER(SEARCH(Search!$N$8,J224)))),1,0))</f>
        <v>0</v>
      </c>
      <c r="L224" s="1" t="n">
        <f aca="false">L223+K224</f>
        <v>0</v>
      </c>
    </row>
    <row r="225" customFormat="false" ht="41.25" hidden="false" customHeight="true" outlineLevel="0" collapsed="false">
      <c r="A225" s="1" t="s">
        <v>27</v>
      </c>
      <c r="B225" s="1" t="s">
        <v>229</v>
      </c>
      <c r="C225" s="1" t="n">
        <v>8</v>
      </c>
      <c r="E225" s="1" t="s">
        <v>804</v>
      </c>
      <c r="F225" s="1" t="s">
        <v>805</v>
      </c>
      <c r="G225" s="46" t="s">
        <v>806</v>
      </c>
      <c r="H225" s="46" t="s">
        <v>807</v>
      </c>
      <c r="J225" s="46" t="s">
        <v>808</v>
      </c>
      <c r="K225" s="1" t="n">
        <f aca="false">IF(Search!$D$5="",0,IF(AND(OR(Search!$N$5="",ISNUMBER(SEARCH(Search!$N$5,J225))),OR(Search!$N$6="",ISNUMBER(SEARCH(Search!$N$6,J225))),OR(Search!$N$7="",ISNUMBER(SEARCH(Search!$N$7,J225))),OR(Search!$N$8="",ISNUMBER(SEARCH(Search!$N$8,J225)))),1,0))</f>
        <v>0</v>
      </c>
      <c r="L225" s="1" t="n">
        <f aca="false">L224+K225</f>
        <v>0</v>
      </c>
    </row>
    <row r="226" customFormat="false" ht="41.25" hidden="false" customHeight="true" outlineLevel="0" collapsed="false">
      <c r="A226" s="1" t="s">
        <v>27</v>
      </c>
      <c r="B226" s="1" t="s">
        <v>229</v>
      </c>
      <c r="C226" s="1" t="n">
        <v>9</v>
      </c>
      <c r="E226" s="1" t="s">
        <v>809</v>
      </c>
      <c r="F226" s="1" t="s">
        <v>810</v>
      </c>
      <c r="G226" s="46" t="s">
        <v>811</v>
      </c>
      <c r="H226" s="46" t="s">
        <v>812</v>
      </c>
      <c r="J226" s="46" t="s">
        <v>813</v>
      </c>
      <c r="K226" s="1" t="n">
        <f aca="false">IF(Search!$D$5="",0,IF(AND(OR(Search!$N$5="",ISNUMBER(SEARCH(Search!$N$5,J226))),OR(Search!$N$6="",ISNUMBER(SEARCH(Search!$N$6,J226))),OR(Search!$N$7="",ISNUMBER(SEARCH(Search!$N$7,J226))),OR(Search!$N$8="",ISNUMBER(SEARCH(Search!$N$8,J226)))),1,0))</f>
        <v>0</v>
      </c>
      <c r="L226" s="1" t="n">
        <f aca="false">L225+K226</f>
        <v>0</v>
      </c>
    </row>
    <row r="227" customFormat="false" ht="15" hidden="false" customHeight="true" outlineLevel="0" collapsed="false">
      <c r="A227" s="1" t="s">
        <v>27</v>
      </c>
      <c r="B227" s="1" t="s">
        <v>229</v>
      </c>
      <c r="C227" s="1" t="n">
        <v>10</v>
      </c>
      <c r="E227" s="1" t="s">
        <v>814</v>
      </c>
      <c r="F227" s="1" t="s">
        <v>815</v>
      </c>
      <c r="G227" s="1" t="s">
        <v>816</v>
      </c>
      <c r="H227" s="1" t="s">
        <v>816</v>
      </c>
      <c r="J227" s="1" t="s">
        <v>817</v>
      </c>
      <c r="K227" s="1" t="n">
        <f aca="false">IF(Search!$D$5="",0,IF(AND(OR(Search!$N$5="",ISNUMBER(SEARCH(Search!$N$5,J227))),OR(Search!$N$6="",ISNUMBER(SEARCH(Search!$N$6,J227))),OR(Search!$N$7="",ISNUMBER(SEARCH(Search!$N$7,J227))),OR(Search!$N$8="",ISNUMBER(SEARCH(Search!$N$8,J227)))),1,0))</f>
        <v>0</v>
      </c>
      <c r="L227" s="1" t="n">
        <f aca="false">L226+K227</f>
        <v>0</v>
      </c>
    </row>
    <row r="228" customFormat="false" ht="15" hidden="false" customHeight="true" outlineLevel="0" collapsed="false">
      <c r="A228" s="1" t="s">
        <v>27</v>
      </c>
      <c r="B228" s="1" t="s">
        <v>229</v>
      </c>
      <c r="C228" s="1" t="n">
        <v>11</v>
      </c>
      <c r="E228" s="1" t="s">
        <v>818</v>
      </c>
      <c r="F228" s="1" t="s">
        <v>815</v>
      </c>
      <c r="G228" s="1" t="s">
        <v>816</v>
      </c>
      <c r="H228" s="1" t="s">
        <v>816</v>
      </c>
      <c r="J228" s="1" t="s">
        <v>819</v>
      </c>
      <c r="K228" s="1" t="n">
        <f aca="false">IF(Search!$D$5="",0,IF(AND(OR(Search!$N$5="",ISNUMBER(SEARCH(Search!$N$5,J228))),OR(Search!$N$6="",ISNUMBER(SEARCH(Search!$N$6,J228))),OR(Search!$N$7="",ISNUMBER(SEARCH(Search!$N$7,J228))),OR(Search!$N$8="",ISNUMBER(SEARCH(Search!$N$8,J228)))),1,0))</f>
        <v>0</v>
      </c>
      <c r="L228" s="1" t="n">
        <f aca="false">L227+K228</f>
        <v>0</v>
      </c>
    </row>
    <row r="229" customFormat="false" ht="41.25" hidden="false" customHeight="true" outlineLevel="0" collapsed="false">
      <c r="A229" s="1" t="s">
        <v>27</v>
      </c>
      <c r="B229" s="1" t="s">
        <v>229</v>
      </c>
      <c r="C229" s="1" t="n">
        <v>12</v>
      </c>
      <c r="E229" s="1" t="s">
        <v>820</v>
      </c>
      <c r="F229" s="1" t="s">
        <v>821</v>
      </c>
      <c r="G229" s="46" t="s">
        <v>822</v>
      </c>
      <c r="H229" s="46" t="s">
        <v>823</v>
      </c>
      <c r="J229" s="46" t="s">
        <v>824</v>
      </c>
      <c r="K229" s="1" t="n">
        <f aca="false">IF(Search!$D$5="",0,IF(AND(OR(Search!$N$5="",ISNUMBER(SEARCH(Search!$N$5,J229))),OR(Search!$N$6="",ISNUMBER(SEARCH(Search!$N$6,J229))),OR(Search!$N$7="",ISNUMBER(SEARCH(Search!$N$7,J229))),OR(Search!$N$8="",ISNUMBER(SEARCH(Search!$N$8,J229)))),1,0))</f>
        <v>0</v>
      </c>
      <c r="L229" s="1" t="n">
        <f aca="false">L228+K229</f>
        <v>0</v>
      </c>
    </row>
    <row r="230" customFormat="false" ht="15" hidden="false" customHeight="true" outlineLevel="0" collapsed="false">
      <c r="A230" s="1" t="s">
        <v>27</v>
      </c>
      <c r="B230" s="1" t="s">
        <v>229</v>
      </c>
      <c r="C230" s="1" t="n">
        <v>13</v>
      </c>
      <c r="E230" s="1" t="s">
        <v>825</v>
      </c>
      <c r="F230" s="1" t="s">
        <v>148</v>
      </c>
      <c r="G230" s="1" t="s">
        <v>147</v>
      </c>
      <c r="H230" s="1" t="s">
        <v>826</v>
      </c>
      <c r="J230" s="1" t="s">
        <v>827</v>
      </c>
      <c r="K230" s="1" t="n">
        <f aca="false">IF(Search!$D$5="",0,IF(AND(OR(Search!$N$5="",ISNUMBER(SEARCH(Search!$N$5,J230))),OR(Search!$N$6="",ISNUMBER(SEARCH(Search!$N$6,J230))),OR(Search!$N$7="",ISNUMBER(SEARCH(Search!$N$7,J230))),OR(Search!$N$8="",ISNUMBER(SEARCH(Search!$N$8,J230)))),1,0))</f>
        <v>0</v>
      </c>
      <c r="L230" s="1" t="n">
        <f aca="false">L229+K230</f>
        <v>0</v>
      </c>
    </row>
    <row r="231" customFormat="false" ht="27.75" hidden="false" customHeight="true" outlineLevel="0" collapsed="false">
      <c r="A231" s="1" t="s">
        <v>27</v>
      </c>
      <c r="B231" s="1" t="s">
        <v>229</v>
      </c>
      <c r="C231" s="1" t="n">
        <v>14</v>
      </c>
      <c r="E231" s="1" t="s">
        <v>828</v>
      </c>
      <c r="F231" s="1" t="s">
        <v>829</v>
      </c>
      <c r="G231" s="46" t="s">
        <v>830</v>
      </c>
      <c r="H231" s="1" t="s">
        <v>831</v>
      </c>
      <c r="J231" s="46" t="s">
        <v>832</v>
      </c>
      <c r="K231" s="1" t="n">
        <f aca="false">IF(Search!$D$5="",0,IF(AND(OR(Search!$N$5="",ISNUMBER(SEARCH(Search!$N$5,J231))),OR(Search!$N$6="",ISNUMBER(SEARCH(Search!$N$6,J231))),OR(Search!$N$7="",ISNUMBER(SEARCH(Search!$N$7,J231))),OR(Search!$N$8="",ISNUMBER(SEARCH(Search!$N$8,J231)))),1,0))</f>
        <v>0</v>
      </c>
      <c r="L231" s="1" t="n">
        <f aca="false">L230+K231</f>
        <v>0</v>
      </c>
    </row>
    <row r="232" customFormat="false" ht="27.75" hidden="false" customHeight="true" outlineLevel="0" collapsed="false">
      <c r="A232" s="1" t="s">
        <v>27</v>
      </c>
      <c r="B232" s="1" t="s">
        <v>229</v>
      </c>
      <c r="C232" s="1" t="n">
        <v>15</v>
      </c>
      <c r="E232" s="1" t="s">
        <v>833</v>
      </c>
      <c r="F232" s="1" t="s">
        <v>834</v>
      </c>
      <c r="G232" s="1" t="s">
        <v>835</v>
      </c>
      <c r="H232" s="46" t="s">
        <v>836</v>
      </c>
      <c r="J232" s="46" t="s">
        <v>837</v>
      </c>
      <c r="K232" s="1" t="n">
        <f aca="false">IF(Search!$D$5="",0,IF(AND(OR(Search!$N$5="",ISNUMBER(SEARCH(Search!$N$5,J232))),OR(Search!$N$6="",ISNUMBER(SEARCH(Search!$N$6,J232))),OR(Search!$N$7="",ISNUMBER(SEARCH(Search!$N$7,J232))),OR(Search!$N$8="",ISNUMBER(SEARCH(Search!$N$8,J232)))),1,0))</f>
        <v>0</v>
      </c>
      <c r="L232" s="1" t="n">
        <f aca="false">L231+K232</f>
        <v>0</v>
      </c>
    </row>
    <row r="233" customFormat="false" ht="15" hidden="false" customHeight="true" outlineLevel="0" collapsed="false">
      <c r="A233" s="1" t="s">
        <v>27</v>
      </c>
      <c r="B233" s="1" t="s">
        <v>229</v>
      </c>
      <c r="C233" s="1" t="n">
        <v>16</v>
      </c>
      <c r="E233" s="1" t="s">
        <v>838</v>
      </c>
      <c r="F233" s="1" t="s">
        <v>839</v>
      </c>
      <c r="G233" s="1" t="s">
        <v>840</v>
      </c>
      <c r="H233" s="1" t="s">
        <v>841</v>
      </c>
      <c r="J233" s="1" t="s">
        <v>842</v>
      </c>
      <c r="K233" s="1" t="n">
        <f aca="false">IF(Search!$D$5="",0,IF(AND(OR(Search!$N$5="",ISNUMBER(SEARCH(Search!$N$5,J233))),OR(Search!$N$6="",ISNUMBER(SEARCH(Search!$N$6,J233))),OR(Search!$N$7="",ISNUMBER(SEARCH(Search!$N$7,J233))),OR(Search!$N$8="",ISNUMBER(SEARCH(Search!$N$8,J233)))),1,0))</f>
        <v>0</v>
      </c>
      <c r="L233" s="1" t="n">
        <f aca="false">L232+K233</f>
        <v>0</v>
      </c>
    </row>
    <row r="234" customFormat="false" ht="15" hidden="false" customHeight="true" outlineLevel="0" collapsed="false">
      <c r="A234" s="1" t="s">
        <v>27</v>
      </c>
      <c r="B234" s="1" t="s">
        <v>229</v>
      </c>
      <c r="C234" s="1" t="n">
        <v>17</v>
      </c>
      <c r="E234" s="1" t="s">
        <v>843</v>
      </c>
      <c r="F234" s="1" t="s">
        <v>844</v>
      </c>
      <c r="G234" s="1" t="s">
        <v>845</v>
      </c>
      <c r="H234" s="1" t="s">
        <v>846</v>
      </c>
      <c r="J234" s="1" t="s">
        <v>847</v>
      </c>
      <c r="K234" s="1" t="n">
        <f aca="false">IF(Search!$D$5="",0,IF(AND(OR(Search!$N$5="",ISNUMBER(SEARCH(Search!$N$5,J234))),OR(Search!$N$6="",ISNUMBER(SEARCH(Search!$N$6,J234))),OR(Search!$N$7="",ISNUMBER(SEARCH(Search!$N$7,J234))),OR(Search!$N$8="",ISNUMBER(SEARCH(Search!$N$8,J234)))),1,0))</f>
        <v>0</v>
      </c>
      <c r="L234" s="1" t="n">
        <f aca="false">L233+K234</f>
        <v>0</v>
      </c>
    </row>
    <row r="235" customFormat="false" ht="15" hidden="false" customHeight="true" outlineLevel="0" collapsed="false">
      <c r="A235" s="1" t="s">
        <v>27</v>
      </c>
      <c r="B235" s="1" t="s">
        <v>229</v>
      </c>
      <c r="C235" s="1" t="n">
        <v>18</v>
      </c>
      <c r="E235" s="1" t="s">
        <v>848</v>
      </c>
      <c r="F235" s="1" t="s">
        <v>849</v>
      </c>
      <c r="G235" s="1" t="s">
        <v>850</v>
      </c>
      <c r="H235" s="1" t="s">
        <v>851</v>
      </c>
      <c r="J235" s="1" t="s">
        <v>852</v>
      </c>
      <c r="K235" s="1" t="n">
        <f aca="false">IF(Search!$D$5="",0,IF(AND(OR(Search!$N$5="",ISNUMBER(SEARCH(Search!$N$5,J235))),OR(Search!$N$6="",ISNUMBER(SEARCH(Search!$N$6,J235))),OR(Search!$N$7="",ISNUMBER(SEARCH(Search!$N$7,J235))),OR(Search!$N$8="",ISNUMBER(SEARCH(Search!$N$8,J235)))),1,0))</f>
        <v>0</v>
      </c>
      <c r="L235" s="1" t="n">
        <f aca="false">L234+K235</f>
        <v>0</v>
      </c>
    </row>
    <row r="236" customFormat="false" ht="15" hidden="false" customHeight="true" outlineLevel="0" collapsed="false">
      <c r="A236" s="1" t="s">
        <v>27</v>
      </c>
      <c r="B236" s="1" t="s">
        <v>229</v>
      </c>
      <c r="C236" s="1" t="n">
        <v>19</v>
      </c>
      <c r="E236" s="1" t="s">
        <v>853</v>
      </c>
      <c r="F236" s="1" t="s">
        <v>854</v>
      </c>
      <c r="G236" s="1" t="s">
        <v>855</v>
      </c>
      <c r="H236" s="1" t="s">
        <v>856</v>
      </c>
      <c r="J236" s="1" t="s">
        <v>857</v>
      </c>
      <c r="K236" s="1" t="n">
        <f aca="false">IF(Search!$D$5="",0,IF(AND(OR(Search!$N$5="",ISNUMBER(SEARCH(Search!$N$5,J236))),OR(Search!$N$6="",ISNUMBER(SEARCH(Search!$N$6,J236))),OR(Search!$N$7="",ISNUMBER(SEARCH(Search!$N$7,J236))),OR(Search!$N$8="",ISNUMBER(SEARCH(Search!$N$8,J236)))),1,0))</f>
        <v>0</v>
      </c>
      <c r="L236" s="1" t="n">
        <f aca="false">L235+K236</f>
        <v>0</v>
      </c>
    </row>
    <row r="237" customFormat="false" ht="15" hidden="false" customHeight="true" outlineLevel="0" collapsed="false">
      <c r="A237" s="1" t="s">
        <v>27</v>
      </c>
      <c r="B237" s="1" t="s">
        <v>229</v>
      </c>
      <c r="C237" s="1" t="n">
        <v>20</v>
      </c>
      <c r="E237" s="1" t="s">
        <v>858</v>
      </c>
      <c r="F237" s="1" t="s">
        <v>859</v>
      </c>
      <c r="G237" s="1" t="s">
        <v>860</v>
      </c>
      <c r="H237" s="1" t="s">
        <v>861</v>
      </c>
      <c r="J237" s="1" t="s">
        <v>862</v>
      </c>
      <c r="K237" s="1" t="n">
        <f aca="false">IF(Search!$D$5="",0,IF(AND(OR(Search!$N$5="",ISNUMBER(SEARCH(Search!$N$5,J237))),OR(Search!$N$6="",ISNUMBER(SEARCH(Search!$N$6,J237))),OR(Search!$N$7="",ISNUMBER(SEARCH(Search!$N$7,J237))),OR(Search!$N$8="",ISNUMBER(SEARCH(Search!$N$8,J237)))),1,0))</f>
        <v>0</v>
      </c>
      <c r="L237" s="1" t="n">
        <f aca="false">L236+K237</f>
        <v>0</v>
      </c>
    </row>
    <row r="238" customFormat="false" ht="15" hidden="false" customHeight="true" outlineLevel="0" collapsed="false">
      <c r="A238" s="1" t="s">
        <v>27</v>
      </c>
      <c r="B238" s="1" t="s">
        <v>229</v>
      </c>
      <c r="C238" s="1" t="n">
        <v>21</v>
      </c>
      <c r="E238" s="1" t="s">
        <v>863</v>
      </c>
      <c r="F238" s="1" t="s">
        <v>864</v>
      </c>
      <c r="G238" s="1" t="s">
        <v>865</v>
      </c>
      <c r="H238" s="1" t="s">
        <v>866</v>
      </c>
      <c r="J238" s="1" t="s">
        <v>867</v>
      </c>
      <c r="K238" s="1" t="n">
        <f aca="false">IF(Search!$D$5="",0,IF(AND(OR(Search!$N$5="",ISNUMBER(SEARCH(Search!$N$5,J238))),OR(Search!$N$6="",ISNUMBER(SEARCH(Search!$N$6,J238))),OR(Search!$N$7="",ISNUMBER(SEARCH(Search!$N$7,J238))),OR(Search!$N$8="",ISNUMBER(SEARCH(Search!$N$8,J238)))),1,0))</f>
        <v>0</v>
      </c>
      <c r="L238" s="1" t="n">
        <f aca="false">L237+K238</f>
        <v>0</v>
      </c>
    </row>
    <row r="239" customFormat="false" ht="15" hidden="false" customHeight="true" outlineLevel="0" collapsed="false">
      <c r="A239" s="1" t="s">
        <v>27</v>
      </c>
      <c r="B239" s="1" t="s">
        <v>229</v>
      </c>
      <c r="C239" s="1" t="n">
        <v>24</v>
      </c>
      <c r="E239" s="1" t="s">
        <v>868</v>
      </c>
      <c r="J239" s="1" t="s">
        <v>868</v>
      </c>
      <c r="K239" s="1" t="n">
        <f aca="false">IF(Search!$D$5="",0,IF(AND(OR(Search!$N$5="",ISNUMBER(SEARCH(Search!$N$5,J239))),OR(Search!$N$6="",ISNUMBER(SEARCH(Search!$N$6,J239))),OR(Search!$N$7="",ISNUMBER(SEARCH(Search!$N$7,J239))),OR(Search!$N$8="",ISNUMBER(SEARCH(Search!$N$8,J239)))),1,0))</f>
        <v>0</v>
      </c>
      <c r="L239" s="1" t="n">
        <f aca="false">L238+K239</f>
        <v>0</v>
      </c>
    </row>
    <row r="240" customFormat="false" ht="15" hidden="false" customHeight="true" outlineLevel="0" collapsed="false">
      <c r="A240" s="1" t="s">
        <v>27</v>
      </c>
      <c r="B240" s="1" t="s">
        <v>229</v>
      </c>
      <c r="C240" s="1" t="n">
        <v>25</v>
      </c>
      <c r="E240" s="1" t="s">
        <v>869</v>
      </c>
      <c r="F240" s="1" t="s">
        <v>690</v>
      </c>
      <c r="G240" s="1" t="s">
        <v>707</v>
      </c>
      <c r="H240" s="1" t="s">
        <v>726</v>
      </c>
      <c r="J240" s="1" t="s">
        <v>870</v>
      </c>
      <c r="K240" s="1" t="n">
        <f aca="false">IF(Search!$D$5="",0,IF(AND(OR(Search!$N$5="",ISNUMBER(SEARCH(Search!$N$5,J240))),OR(Search!$N$6="",ISNUMBER(SEARCH(Search!$N$6,J240))),OR(Search!$N$7="",ISNUMBER(SEARCH(Search!$N$7,J240))),OR(Search!$N$8="",ISNUMBER(SEARCH(Search!$N$8,J240)))),1,0))</f>
        <v>0</v>
      </c>
      <c r="L240" s="1" t="n">
        <f aca="false">L239+K240</f>
        <v>0</v>
      </c>
    </row>
    <row r="241" customFormat="false" ht="15" hidden="false" customHeight="true" outlineLevel="0" collapsed="false">
      <c r="A241" s="1" t="s">
        <v>27</v>
      </c>
      <c r="B241" s="1" t="s">
        <v>229</v>
      </c>
      <c r="C241" s="1" t="n">
        <v>26</v>
      </c>
      <c r="E241" s="1" t="s">
        <v>871</v>
      </c>
      <c r="F241" s="1" t="s">
        <v>872</v>
      </c>
      <c r="G241" s="1" t="s">
        <v>873</v>
      </c>
      <c r="H241" s="1" t="s">
        <v>874</v>
      </c>
      <c r="J241" s="1" t="s">
        <v>875</v>
      </c>
      <c r="K241" s="1" t="n">
        <f aca="false">IF(Search!$D$5="",0,IF(AND(OR(Search!$N$5="",ISNUMBER(SEARCH(Search!$N$5,J241))),OR(Search!$N$6="",ISNUMBER(SEARCH(Search!$N$6,J241))),OR(Search!$N$7="",ISNUMBER(SEARCH(Search!$N$7,J241))),OR(Search!$N$8="",ISNUMBER(SEARCH(Search!$N$8,J241)))),1,0))</f>
        <v>0</v>
      </c>
      <c r="L241" s="1" t="n">
        <f aca="false">L240+K241</f>
        <v>0</v>
      </c>
    </row>
    <row r="242" customFormat="false" ht="15" hidden="false" customHeight="true" outlineLevel="0" collapsed="false">
      <c r="A242" s="1" t="s">
        <v>27</v>
      </c>
      <c r="B242" s="1" t="s">
        <v>229</v>
      </c>
      <c r="C242" s="1" t="n">
        <v>27</v>
      </c>
      <c r="E242" s="1" t="s">
        <v>876</v>
      </c>
      <c r="F242" s="1" t="s">
        <v>877</v>
      </c>
      <c r="G242" s="1" t="s">
        <v>878</v>
      </c>
      <c r="H242" s="1" t="s">
        <v>879</v>
      </c>
      <c r="J242" s="1" t="s">
        <v>880</v>
      </c>
      <c r="K242" s="1" t="n">
        <f aca="false">IF(Search!$D$5="",0,IF(AND(OR(Search!$N$5="",ISNUMBER(SEARCH(Search!$N$5,J242))),OR(Search!$N$6="",ISNUMBER(SEARCH(Search!$N$6,J242))),OR(Search!$N$7="",ISNUMBER(SEARCH(Search!$N$7,J242))),OR(Search!$N$8="",ISNUMBER(SEARCH(Search!$N$8,J242)))),1,0))</f>
        <v>0</v>
      </c>
      <c r="L242" s="1" t="n">
        <f aca="false">L241+K242</f>
        <v>0</v>
      </c>
    </row>
    <row r="243" customFormat="false" ht="15" hidden="false" customHeight="true" outlineLevel="0" collapsed="false">
      <c r="A243" s="1" t="s">
        <v>27</v>
      </c>
      <c r="B243" s="1" t="s">
        <v>229</v>
      </c>
      <c r="C243" s="1" t="n">
        <v>28</v>
      </c>
      <c r="E243" s="1" t="s">
        <v>881</v>
      </c>
      <c r="F243" s="1" t="s">
        <v>882</v>
      </c>
      <c r="G243" s="1" t="s">
        <v>883</v>
      </c>
      <c r="H243" s="1" t="s">
        <v>884</v>
      </c>
      <c r="J243" s="1" t="s">
        <v>885</v>
      </c>
      <c r="K243" s="1" t="n">
        <f aca="false">IF(Search!$D$5="",0,IF(AND(OR(Search!$N$5="",ISNUMBER(SEARCH(Search!$N$5,J243))),OR(Search!$N$6="",ISNUMBER(SEARCH(Search!$N$6,J243))),OR(Search!$N$7="",ISNUMBER(SEARCH(Search!$N$7,J243))),OR(Search!$N$8="",ISNUMBER(SEARCH(Search!$N$8,J243)))),1,0))</f>
        <v>0</v>
      </c>
      <c r="L243" s="1" t="n">
        <f aca="false">L242+K243</f>
        <v>0</v>
      </c>
    </row>
    <row r="244" customFormat="false" ht="15" hidden="false" customHeight="true" outlineLevel="0" collapsed="false">
      <c r="A244" s="1" t="s">
        <v>27</v>
      </c>
      <c r="B244" s="1" t="s">
        <v>229</v>
      </c>
      <c r="C244" s="1" t="n">
        <v>29</v>
      </c>
      <c r="E244" s="1" t="s">
        <v>886</v>
      </c>
      <c r="F244" s="1" t="s">
        <v>887</v>
      </c>
      <c r="G244" s="1" t="s">
        <v>888</v>
      </c>
      <c r="H244" s="1" t="s">
        <v>889</v>
      </c>
      <c r="J244" s="1" t="s">
        <v>890</v>
      </c>
      <c r="K244" s="1" t="n">
        <f aca="false">IF(Search!$D$5="",0,IF(AND(OR(Search!$N$5="",ISNUMBER(SEARCH(Search!$N$5,J244))),OR(Search!$N$6="",ISNUMBER(SEARCH(Search!$N$6,J244))),OR(Search!$N$7="",ISNUMBER(SEARCH(Search!$N$7,J244))),OR(Search!$N$8="",ISNUMBER(SEARCH(Search!$N$8,J244)))),1,0))</f>
        <v>0</v>
      </c>
      <c r="L244" s="1" t="n">
        <f aca="false">L243+K244</f>
        <v>0</v>
      </c>
    </row>
    <row r="245" customFormat="false" ht="15" hidden="false" customHeight="true" outlineLevel="0" collapsed="false">
      <c r="A245" s="1" t="s">
        <v>27</v>
      </c>
      <c r="B245" s="1" t="s">
        <v>229</v>
      </c>
      <c r="C245" s="1" t="n">
        <v>30</v>
      </c>
      <c r="E245" s="1" t="s">
        <v>891</v>
      </c>
      <c r="F245" s="1" t="s">
        <v>892</v>
      </c>
      <c r="G245" s="1" t="s">
        <v>893</v>
      </c>
      <c r="H245" s="1" t="s">
        <v>894</v>
      </c>
      <c r="J245" s="1" t="s">
        <v>895</v>
      </c>
      <c r="K245" s="1" t="n">
        <f aca="false">IF(Search!$D$5="",0,IF(AND(OR(Search!$N$5="",ISNUMBER(SEARCH(Search!$N$5,J245))),OR(Search!$N$6="",ISNUMBER(SEARCH(Search!$N$6,J245))),OR(Search!$N$7="",ISNUMBER(SEARCH(Search!$N$7,J245))),OR(Search!$N$8="",ISNUMBER(SEARCH(Search!$N$8,J245)))),1,0))</f>
        <v>0</v>
      </c>
      <c r="L245" s="1" t="n">
        <f aca="false">L244+K245</f>
        <v>0</v>
      </c>
    </row>
    <row r="246" customFormat="false" ht="15" hidden="false" customHeight="true" outlineLevel="0" collapsed="false">
      <c r="A246" s="1" t="s">
        <v>27</v>
      </c>
      <c r="B246" s="1" t="s">
        <v>229</v>
      </c>
      <c r="C246" s="1" t="n">
        <v>31</v>
      </c>
      <c r="E246" s="1" t="s">
        <v>896</v>
      </c>
      <c r="F246" s="1" t="s">
        <v>897</v>
      </c>
      <c r="G246" s="1" t="s">
        <v>898</v>
      </c>
      <c r="H246" s="1" t="s">
        <v>899</v>
      </c>
      <c r="J246" s="1" t="s">
        <v>900</v>
      </c>
      <c r="K246" s="1" t="n">
        <f aca="false">IF(Search!$D$5="",0,IF(AND(OR(Search!$N$5="",ISNUMBER(SEARCH(Search!$N$5,J246))),OR(Search!$N$6="",ISNUMBER(SEARCH(Search!$N$6,J246))),OR(Search!$N$7="",ISNUMBER(SEARCH(Search!$N$7,J246))),OR(Search!$N$8="",ISNUMBER(SEARCH(Search!$N$8,J246)))),1,0))</f>
        <v>0</v>
      </c>
      <c r="L246" s="1" t="n">
        <f aca="false">L245+K246</f>
        <v>0</v>
      </c>
    </row>
    <row r="247" customFormat="false" ht="15" hidden="false" customHeight="true" outlineLevel="0" collapsed="false">
      <c r="A247" s="1" t="s">
        <v>27</v>
      </c>
      <c r="B247" s="1" t="s">
        <v>229</v>
      </c>
      <c r="C247" s="1" t="n">
        <v>32</v>
      </c>
      <c r="E247" s="1" t="s">
        <v>901</v>
      </c>
      <c r="F247" s="1" t="s">
        <v>902</v>
      </c>
      <c r="G247" s="1" t="s">
        <v>903</v>
      </c>
      <c r="H247" s="1" t="s">
        <v>904</v>
      </c>
      <c r="J247" s="1" t="s">
        <v>905</v>
      </c>
      <c r="K247" s="1" t="n">
        <f aca="false">IF(Search!$D$5="",0,IF(AND(OR(Search!$N$5="",ISNUMBER(SEARCH(Search!$N$5,J247))),OR(Search!$N$6="",ISNUMBER(SEARCH(Search!$N$6,J247))),OR(Search!$N$7="",ISNUMBER(SEARCH(Search!$N$7,J247))),OR(Search!$N$8="",ISNUMBER(SEARCH(Search!$N$8,J247)))),1,0))</f>
        <v>0</v>
      </c>
      <c r="L247" s="1" t="n">
        <f aca="false">L246+K247</f>
        <v>0</v>
      </c>
    </row>
    <row r="248" customFormat="false" ht="15" hidden="false" customHeight="true" outlineLevel="0" collapsed="false">
      <c r="A248" s="1" t="s">
        <v>27</v>
      </c>
      <c r="B248" s="1" t="s">
        <v>229</v>
      </c>
      <c r="C248" s="1" t="n">
        <v>33</v>
      </c>
      <c r="E248" s="1" t="s">
        <v>24</v>
      </c>
      <c r="F248" s="1" t="s">
        <v>906</v>
      </c>
      <c r="G248" s="1" t="s">
        <v>907</v>
      </c>
      <c r="H248" s="1" t="s">
        <v>908</v>
      </c>
      <c r="J248" s="1" t="s">
        <v>909</v>
      </c>
      <c r="K248" s="1" t="n">
        <f aca="false">IF(Search!$D$5="",0,IF(AND(OR(Search!$N$5="",ISNUMBER(SEARCH(Search!$N$5,J248))),OR(Search!$N$6="",ISNUMBER(SEARCH(Search!$N$6,J248))),OR(Search!$N$7="",ISNUMBER(SEARCH(Search!$N$7,J248))),OR(Search!$N$8="",ISNUMBER(SEARCH(Search!$N$8,J248)))),1,0))</f>
        <v>0</v>
      </c>
      <c r="L248" s="1" t="n">
        <f aca="false">L247+K248</f>
        <v>0</v>
      </c>
    </row>
    <row r="249" customFormat="false" ht="15" hidden="false" customHeight="true" outlineLevel="0" collapsed="false">
      <c r="A249" s="1" t="s">
        <v>27</v>
      </c>
      <c r="B249" s="1" t="s">
        <v>229</v>
      </c>
      <c r="C249" s="1" t="n">
        <v>36</v>
      </c>
      <c r="E249" s="1" t="s">
        <v>910</v>
      </c>
      <c r="J249" s="1" t="s">
        <v>910</v>
      </c>
      <c r="K249" s="1" t="n">
        <f aca="false">IF(Search!$D$5="",0,IF(AND(OR(Search!$N$5="",ISNUMBER(SEARCH(Search!$N$5,J249))),OR(Search!$N$6="",ISNUMBER(SEARCH(Search!$N$6,J249))),OR(Search!$N$7="",ISNUMBER(SEARCH(Search!$N$7,J249))),OR(Search!$N$8="",ISNUMBER(SEARCH(Search!$N$8,J249)))),1,0))</f>
        <v>0</v>
      </c>
      <c r="L249" s="1" t="n">
        <f aca="false">L248+K249</f>
        <v>0</v>
      </c>
    </row>
    <row r="250" customFormat="false" ht="68.25" hidden="false" customHeight="true" outlineLevel="0" collapsed="false">
      <c r="A250" s="1" t="s">
        <v>27</v>
      </c>
      <c r="B250" s="1" t="s">
        <v>229</v>
      </c>
      <c r="C250" s="1" t="n">
        <v>37</v>
      </c>
      <c r="E250" s="46" t="s">
        <v>795</v>
      </c>
      <c r="F250" s="46" t="s">
        <v>764</v>
      </c>
      <c r="G250" s="46" t="s">
        <v>911</v>
      </c>
      <c r="H250" s="46" t="s">
        <v>912</v>
      </c>
      <c r="I250" s="1" t="s">
        <v>913</v>
      </c>
      <c r="J250" s="46" t="s">
        <v>914</v>
      </c>
      <c r="K250" s="1" t="n">
        <f aca="false">IF(Search!$D$5="",0,IF(AND(OR(Search!$N$5="",ISNUMBER(SEARCH(Search!$N$5,J250))),OR(Search!$N$6="",ISNUMBER(SEARCH(Search!$N$6,J250))),OR(Search!$N$7="",ISNUMBER(SEARCH(Search!$N$7,J250))),OR(Search!$N$8="",ISNUMBER(SEARCH(Search!$N$8,J250)))),1,0))</f>
        <v>0</v>
      </c>
      <c r="L250" s="1" t="n">
        <f aca="false">L249+K250</f>
        <v>0</v>
      </c>
    </row>
    <row r="251" customFormat="false" ht="41.25" hidden="false" customHeight="true" outlineLevel="0" collapsed="false">
      <c r="A251" s="1" t="s">
        <v>27</v>
      </c>
      <c r="B251" s="1" t="s">
        <v>229</v>
      </c>
      <c r="C251" s="1" t="n">
        <v>38</v>
      </c>
      <c r="E251" s="1" t="s">
        <v>358</v>
      </c>
      <c r="F251" s="1" t="s">
        <v>399</v>
      </c>
      <c r="G251" s="46" t="s">
        <v>915</v>
      </c>
      <c r="H251" s="46" t="s">
        <v>916</v>
      </c>
      <c r="I251" s="1" t="s">
        <v>917</v>
      </c>
      <c r="J251" s="46" t="s">
        <v>918</v>
      </c>
      <c r="K251" s="1" t="n">
        <f aca="false">IF(Search!$D$5="",0,IF(AND(OR(Search!$N$5="",ISNUMBER(SEARCH(Search!$N$5,J251))),OR(Search!$N$6="",ISNUMBER(SEARCH(Search!$N$6,J251))),OR(Search!$N$7="",ISNUMBER(SEARCH(Search!$N$7,J251))),OR(Search!$N$8="",ISNUMBER(SEARCH(Search!$N$8,J251)))),1,0))</f>
        <v>0</v>
      </c>
      <c r="L251" s="1" t="n">
        <f aca="false">L250+K251</f>
        <v>0</v>
      </c>
    </row>
    <row r="252" customFormat="false" ht="41.25" hidden="false" customHeight="true" outlineLevel="0" collapsed="false">
      <c r="A252" s="1" t="s">
        <v>27</v>
      </c>
      <c r="B252" s="1" t="s">
        <v>229</v>
      </c>
      <c r="C252" s="1" t="n">
        <v>39</v>
      </c>
      <c r="E252" s="1" t="s">
        <v>359</v>
      </c>
      <c r="F252" s="1" t="s">
        <v>400</v>
      </c>
      <c r="G252" s="46" t="s">
        <v>919</v>
      </c>
      <c r="H252" s="46" t="s">
        <v>920</v>
      </c>
      <c r="I252" s="1" t="s">
        <v>921</v>
      </c>
      <c r="J252" s="46" t="s">
        <v>922</v>
      </c>
      <c r="K252" s="1" t="n">
        <f aca="false">IF(Search!$D$5="",0,IF(AND(OR(Search!$N$5="",ISNUMBER(SEARCH(Search!$N$5,J252))),OR(Search!$N$6="",ISNUMBER(SEARCH(Search!$N$6,J252))),OR(Search!$N$7="",ISNUMBER(SEARCH(Search!$N$7,J252))),OR(Search!$N$8="",ISNUMBER(SEARCH(Search!$N$8,J252)))),1,0))</f>
        <v>0</v>
      </c>
      <c r="L252" s="1" t="n">
        <f aca="false">L251+K252</f>
        <v>0</v>
      </c>
    </row>
    <row r="253" customFormat="false" ht="41.25" hidden="false" customHeight="true" outlineLevel="0" collapsed="false">
      <c r="A253" s="1" t="s">
        <v>27</v>
      </c>
      <c r="B253" s="1" t="s">
        <v>229</v>
      </c>
      <c r="C253" s="1" t="n">
        <v>40</v>
      </c>
      <c r="E253" s="1" t="s">
        <v>360</v>
      </c>
      <c r="F253" s="1" t="s">
        <v>401</v>
      </c>
      <c r="G253" s="46" t="s">
        <v>923</v>
      </c>
      <c r="H253" s="46" t="s">
        <v>924</v>
      </c>
      <c r="I253" s="1" t="s">
        <v>925</v>
      </c>
      <c r="J253" s="46" t="s">
        <v>926</v>
      </c>
      <c r="K253" s="1" t="n">
        <f aca="false">IF(Search!$D$5="",0,IF(AND(OR(Search!$N$5="",ISNUMBER(SEARCH(Search!$N$5,J253))),OR(Search!$N$6="",ISNUMBER(SEARCH(Search!$N$6,J253))),OR(Search!$N$7="",ISNUMBER(SEARCH(Search!$N$7,J253))),OR(Search!$N$8="",ISNUMBER(SEARCH(Search!$N$8,J253)))),1,0))</f>
        <v>0</v>
      </c>
      <c r="L253" s="1" t="n">
        <f aca="false">L252+K253</f>
        <v>0</v>
      </c>
    </row>
    <row r="254" customFormat="false" ht="27.75" hidden="false" customHeight="true" outlineLevel="0" collapsed="false">
      <c r="A254" s="1" t="s">
        <v>27</v>
      </c>
      <c r="B254" s="1" t="s">
        <v>229</v>
      </c>
      <c r="C254" s="1" t="n">
        <v>41</v>
      </c>
      <c r="E254" s="1" t="s">
        <v>648</v>
      </c>
      <c r="F254" s="1" t="s">
        <v>702</v>
      </c>
      <c r="G254" s="46" t="s">
        <v>927</v>
      </c>
      <c r="H254" s="1" t="s">
        <v>928</v>
      </c>
      <c r="I254" s="1" t="s">
        <v>929</v>
      </c>
      <c r="J254" s="46" t="s">
        <v>930</v>
      </c>
      <c r="K254" s="1" t="n">
        <f aca="false">IF(Search!$D$5="",0,IF(AND(OR(Search!$N$5="",ISNUMBER(SEARCH(Search!$N$5,J254))),OR(Search!$N$6="",ISNUMBER(SEARCH(Search!$N$6,J254))),OR(Search!$N$7="",ISNUMBER(SEARCH(Search!$N$7,J254))),OR(Search!$N$8="",ISNUMBER(SEARCH(Search!$N$8,J254)))),1,0))</f>
        <v>0</v>
      </c>
      <c r="L254" s="1" t="n">
        <f aca="false">L253+K254</f>
        <v>0</v>
      </c>
    </row>
    <row r="255" customFormat="false" ht="27.75" hidden="false" customHeight="true" outlineLevel="0" collapsed="false">
      <c r="A255" s="1" t="s">
        <v>27</v>
      </c>
      <c r="B255" s="1" t="s">
        <v>229</v>
      </c>
      <c r="C255" s="1" t="n">
        <v>42</v>
      </c>
      <c r="E255" s="1" t="s">
        <v>653</v>
      </c>
      <c r="F255" s="1" t="s">
        <v>458</v>
      </c>
      <c r="G255" s="46" t="s">
        <v>931</v>
      </c>
      <c r="H255" s="1" t="s">
        <v>932</v>
      </c>
      <c r="I255" s="1" t="s">
        <v>933</v>
      </c>
      <c r="J255" s="46" t="s">
        <v>934</v>
      </c>
      <c r="K255" s="1" t="n">
        <f aca="false">IF(Search!$D$5="",0,IF(AND(OR(Search!$N$5="",ISNUMBER(SEARCH(Search!$N$5,J255))),OR(Search!$N$6="",ISNUMBER(SEARCH(Search!$N$6,J255))),OR(Search!$N$7="",ISNUMBER(SEARCH(Search!$N$7,J255))),OR(Search!$N$8="",ISNUMBER(SEARCH(Search!$N$8,J255)))),1,0))</f>
        <v>0</v>
      </c>
      <c r="L255" s="1" t="n">
        <f aca="false">L254+K255</f>
        <v>0</v>
      </c>
    </row>
    <row r="256" customFormat="false" ht="15" hidden="false" customHeight="true" outlineLevel="0" collapsed="false">
      <c r="A256" s="1" t="s">
        <v>27</v>
      </c>
      <c r="B256" s="1" t="s">
        <v>229</v>
      </c>
      <c r="C256" s="1" t="n">
        <v>44</v>
      </c>
      <c r="E256" s="1" t="s">
        <v>935</v>
      </c>
      <c r="J256" s="1" t="s">
        <v>935</v>
      </c>
      <c r="K256" s="1" t="n">
        <f aca="false">IF(Search!$D$5="",0,IF(AND(OR(Search!$N$5="",ISNUMBER(SEARCH(Search!$N$5,J256))),OR(Search!$N$6="",ISNUMBER(SEARCH(Search!$N$6,J256))),OR(Search!$N$7="",ISNUMBER(SEARCH(Search!$N$7,J256))),OR(Search!$N$8="",ISNUMBER(SEARCH(Search!$N$8,J256)))),1,0))</f>
        <v>0</v>
      </c>
      <c r="L256" s="1" t="n">
        <f aca="false">L255+K256</f>
        <v>0</v>
      </c>
    </row>
    <row r="257" customFormat="false" ht="15" hidden="false" customHeight="true" outlineLevel="0" collapsed="false">
      <c r="A257" s="1" t="s">
        <v>28</v>
      </c>
      <c r="B257" s="1" t="s">
        <v>936</v>
      </c>
      <c r="C257" s="1" t="n">
        <v>2</v>
      </c>
      <c r="E257" s="1" t="s">
        <v>937</v>
      </c>
      <c r="J257" s="1" t="s">
        <v>937</v>
      </c>
      <c r="K257" s="1" t="n">
        <f aca="false">IF(Search!$D$5="",0,IF(AND(OR(Search!$N$5="",ISNUMBER(SEARCH(Search!$N$5,J257))),OR(Search!$N$6="",ISNUMBER(SEARCH(Search!$N$6,J257))),OR(Search!$N$7="",ISNUMBER(SEARCH(Search!$N$7,J257))),OR(Search!$N$8="",ISNUMBER(SEARCH(Search!$N$8,J257)))),1,0))</f>
        <v>0</v>
      </c>
      <c r="L257" s="1" t="n">
        <f aca="false">L256+K257</f>
        <v>0</v>
      </c>
    </row>
    <row r="258" customFormat="false" ht="15" hidden="false" customHeight="true" outlineLevel="0" collapsed="false">
      <c r="A258" s="1" t="s">
        <v>28</v>
      </c>
      <c r="B258" s="1" t="s">
        <v>936</v>
      </c>
      <c r="C258" s="1" t="n">
        <v>3</v>
      </c>
      <c r="E258" s="1" t="s">
        <v>938</v>
      </c>
      <c r="J258" s="1" t="s">
        <v>938</v>
      </c>
      <c r="K258" s="1" t="n">
        <f aca="false">IF(Search!$D$5="",0,IF(AND(OR(Search!$N$5="",ISNUMBER(SEARCH(Search!$N$5,J258))),OR(Search!$N$6="",ISNUMBER(SEARCH(Search!$N$6,J258))),OR(Search!$N$7="",ISNUMBER(SEARCH(Search!$N$7,J258))),OR(Search!$N$8="",ISNUMBER(SEARCH(Search!$N$8,J258)))),1,0))</f>
        <v>0</v>
      </c>
      <c r="L258" s="1" t="n">
        <f aca="false">L257+K258</f>
        <v>0</v>
      </c>
    </row>
    <row r="259" customFormat="false" ht="15" hidden="false" customHeight="true" outlineLevel="0" collapsed="false">
      <c r="A259" s="1" t="s">
        <v>28</v>
      </c>
      <c r="B259" s="1" t="s">
        <v>936</v>
      </c>
      <c r="C259" s="1" t="n">
        <v>5</v>
      </c>
      <c r="E259" s="1" t="s">
        <v>939</v>
      </c>
      <c r="J259" s="1" t="s">
        <v>939</v>
      </c>
      <c r="K259" s="1" t="n">
        <f aca="false">IF(Search!$D$5="",0,IF(AND(OR(Search!$N$5="",ISNUMBER(SEARCH(Search!$N$5,J259))),OR(Search!$N$6="",ISNUMBER(SEARCH(Search!$N$6,J259))),OR(Search!$N$7="",ISNUMBER(SEARCH(Search!$N$7,J259))),OR(Search!$N$8="",ISNUMBER(SEARCH(Search!$N$8,J259)))),1,0))</f>
        <v>0</v>
      </c>
      <c r="L259" s="1" t="n">
        <f aca="false">L258+K259</f>
        <v>0</v>
      </c>
    </row>
    <row r="260" customFormat="false" ht="15" hidden="false" customHeight="true" outlineLevel="0" collapsed="false">
      <c r="A260" s="1" t="s">
        <v>28</v>
      </c>
      <c r="B260" s="1" t="s">
        <v>936</v>
      </c>
      <c r="C260" s="1" t="n">
        <v>6</v>
      </c>
      <c r="E260" s="1" t="s">
        <v>212</v>
      </c>
      <c r="F260" s="1" t="s">
        <v>940</v>
      </c>
      <c r="J260" s="1" t="s">
        <v>941</v>
      </c>
      <c r="K260" s="1" t="n">
        <f aca="false">IF(Search!$D$5="",0,IF(AND(OR(Search!$N$5="",ISNUMBER(SEARCH(Search!$N$5,J260))),OR(Search!$N$6="",ISNUMBER(SEARCH(Search!$N$6,J260))),OR(Search!$N$7="",ISNUMBER(SEARCH(Search!$N$7,J260))),OR(Search!$N$8="",ISNUMBER(SEARCH(Search!$N$8,J260)))),1,0))</f>
        <v>0</v>
      </c>
      <c r="L260" s="1" t="n">
        <f aca="false">L259+K260</f>
        <v>0</v>
      </c>
    </row>
    <row r="261" customFormat="false" ht="15" hidden="false" customHeight="true" outlineLevel="0" collapsed="false">
      <c r="A261" s="1" t="s">
        <v>28</v>
      </c>
      <c r="B261" s="1" t="s">
        <v>936</v>
      </c>
      <c r="C261" s="1" t="n">
        <v>7</v>
      </c>
      <c r="E261" s="1" t="s">
        <v>942</v>
      </c>
      <c r="F261" s="1" t="s">
        <v>943</v>
      </c>
      <c r="J261" s="1" t="s">
        <v>944</v>
      </c>
      <c r="K261" s="1" t="n">
        <f aca="false">IF(Search!$D$5="",0,IF(AND(OR(Search!$N$5="",ISNUMBER(SEARCH(Search!$N$5,J261))),OR(Search!$N$6="",ISNUMBER(SEARCH(Search!$N$6,J261))),OR(Search!$N$7="",ISNUMBER(SEARCH(Search!$N$7,J261))),OR(Search!$N$8="",ISNUMBER(SEARCH(Search!$N$8,J261)))),1,0))</f>
        <v>0</v>
      </c>
      <c r="L261" s="1" t="n">
        <f aca="false">L260+K261</f>
        <v>0</v>
      </c>
    </row>
    <row r="262" customFormat="false" ht="15" hidden="false" customHeight="true" outlineLevel="0" collapsed="false">
      <c r="A262" s="1" t="s">
        <v>28</v>
      </c>
      <c r="B262" s="1" t="s">
        <v>936</v>
      </c>
      <c r="C262" s="1" t="n">
        <v>8</v>
      </c>
      <c r="E262" s="1" t="s">
        <v>945</v>
      </c>
      <c r="F262" s="1" t="s">
        <v>946</v>
      </c>
      <c r="J262" s="1" t="s">
        <v>947</v>
      </c>
      <c r="K262" s="1" t="n">
        <f aca="false">IF(Search!$D$5="",0,IF(AND(OR(Search!$N$5="",ISNUMBER(SEARCH(Search!$N$5,J262))),OR(Search!$N$6="",ISNUMBER(SEARCH(Search!$N$6,J262))),OR(Search!$N$7="",ISNUMBER(SEARCH(Search!$N$7,J262))),OR(Search!$N$8="",ISNUMBER(SEARCH(Search!$N$8,J262)))),1,0))</f>
        <v>0</v>
      </c>
      <c r="L262" s="1" t="n">
        <f aca="false">L261+K262</f>
        <v>0</v>
      </c>
    </row>
    <row r="263" customFormat="false" ht="15" hidden="false" customHeight="true" outlineLevel="0" collapsed="false">
      <c r="A263" s="1" t="s">
        <v>28</v>
      </c>
      <c r="B263" s="1" t="s">
        <v>936</v>
      </c>
      <c r="C263" s="1" t="n">
        <v>9</v>
      </c>
      <c r="E263" s="1" t="s">
        <v>948</v>
      </c>
      <c r="F263" s="1" t="s">
        <v>949</v>
      </c>
      <c r="J263" s="1" t="s">
        <v>950</v>
      </c>
      <c r="K263" s="1" t="n">
        <f aca="false">IF(Search!$D$5="",0,IF(AND(OR(Search!$N$5="",ISNUMBER(SEARCH(Search!$N$5,J263))),OR(Search!$N$6="",ISNUMBER(SEARCH(Search!$N$6,J263))),OR(Search!$N$7="",ISNUMBER(SEARCH(Search!$N$7,J263))),OR(Search!$N$8="",ISNUMBER(SEARCH(Search!$N$8,J263)))),1,0))</f>
        <v>0</v>
      </c>
      <c r="L263" s="1" t="n">
        <f aca="false">L262+K263</f>
        <v>0</v>
      </c>
    </row>
    <row r="264" customFormat="false" ht="15" hidden="false" customHeight="true" outlineLevel="0" collapsed="false">
      <c r="A264" s="1" t="s">
        <v>28</v>
      </c>
      <c r="B264" s="1" t="s">
        <v>936</v>
      </c>
      <c r="C264" s="1" t="n">
        <v>10</v>
      </c>
      <c r="E264" s="1" t="s">
        <v>213</v>
      </c>
      <c r="F264" s="1" t="s">
        <v>951</v>
      </c>
      <c r="J264" s="1" t="s">
        <v>952</v>
      </c>
      <c r="K264" s="1" t="n">
        <f aca="false">IF(Search!$D$5="",0,IF(AND(OR(Search!$N$5="",ISNUMBER(SEARCH(Search!$N$5,J264))),OR(Search!$N$6="",ISNUMBER(SEARCH(Search!$N$6,J264))),OR(Search!$N$7="",ISNUMBER(SEARCH(Search!$N$7,J264))),OR(Search!$N$8="",ISNUMBER(SEARCH(Search!$N$8,J264)))),1,0))</f>
        <v>0</v>
      </c>
      <c r="L264" s="1" t="n">
        <f aca="false">L263+K264</f>
        <v>0</v>
      </c>
    </row>
    <row r="265" customFormat="false" ht="15" hidden="false" customHeight="true" outlineLevel="0" collapsed="false">
      <c r="A265" s="1" t="s">
        <v>28</v>
      </c>
      <c r="B265" s="1" t="s">
        <v>936</v>
      </c>
      <c r="C265" s="1" t="n">
        <v>11</v>
      </c>
      <c r="E265" s="1" t="s">
        <v>953</v>
      </c>
      <c r="F265" s="1" t="s">
        <v>954</v>
      </c>
      <c r="J265" s="1" t="s">
        <v>955</v>
      </c>
      <c r="K265" s="1" t="n">
        <f aca="false">IF(Search!$D$5="",0,IF(AND(OR(Search!$N$5="",ISNUMBER(SEARCH(Search!$N$5,J265))),OR(Search!$N$6="",ISNUMBER(SEARCH(Search!$N$6,J265))),OR(Search!$N$7="",ISNUMBER(SEARCH(Search!$N$7,J265))),OR(Search!$N$8="",ISNUMBER(SEARCH(Search!$N$8,J265)))),1,0))</f>
        <v>0</v>
      </c>
      <c r="L265" s="1" t="n">
        <f aca="false">L264+K265</f>
        <v>0</v>
      </c>
    </row>
    <row r="266" customFormat="false" ht="15" hidden="false" customHeight="true" outlineLevel="0" collapsed="false">
      <c r="A266" s="1" t="s">
        <v>28</v>
      </c>
      <c r="B266" s="1" t="s">
        <v>936</v>
      </c>
      <c r="C266" s="1" t="n">
        <v>12</v>
      </c>
      <c r="E266" s="1" t="s">
        <v>956</v>
      </c>
      <c r="F266" s="1" t="s">
        <v>957</v>
      </c>
      <c r="J266" s="1" t="s">
        <v>958</v>
      </c>
      <c r="K266" s="1" t="n">
        <f aca="false">IF(Search!$D$5="",0,IF(AND(OR(Search!$N$5="",ISNUMBER(SEARCH(Search!$N$5,J266))),OR(Search!$N$6="",ISNUMBER(SEARCH(Search!$N$6,J266))),OR(Search!$N$7="",ISNUMBER(SEARCH(Search!$N$7,J266))),OR(Search!$N$8="",ISNUMBER(SEARCH(Search!$N$8,J266)))),1,0))</f>
        <v>0</v>
      </c>
      <c r="L266" s="1" t="n">
        <f aca="false">L265+K266</f>
        <v>0</v>
      </c>
    </row>
    <row r="267" customFormat="false" ht="15" hidden="false" customHeight="true" outlineLevel="0" collapsed="false">
      <c r="A267" s="1" t="s">
        <v>28</v>
      </c>
      <c r="B267" s="1" t="s">
        <v>936</v>
      </c>
      <c r="C267" s="1" t="n">
        <v>13</v>
      </c>
      <c r="E267" s="1" t="s">
        <v>959</v>
      </c>
      <c r="F267" s="1" t="s">
        <v>960</v>
      </c>
      <c r="J267" s="1" t="s">
        <v>961</v>
      </c>
      <c r="K267" s="1" t="n">
        <f aca="false">IF(Search!$D$5="",0,IF(AND(OR(Search!$N$5="",ISNUMBER(SEARCH(Search!$N$5,J267))),OR(Search!$N$6="",ISNUMBER(SEARCH(Search!$N$6,J267))),OR(Search!$N$7="",ISNUMBER(SEARCH(Search!$N$7,J267))),OR(Search!$N$8="",ISNUMBER(SEARCH(Search!$N$8,J267)))),1,0))</f>
        <v>0</v>
      </c>
      <c r="L267" s="1" t="n">
        <f aca="false">L266+K267</f>
        <v>0</v>
      </c>
    </row>
    <row r="268" customFormat="false" ht="15" hidden="false" customHeight="true" outlineLevel="0" collapsed="false">
      <c r="A268" s="1" t="s">
        <v>28</v>
      </c>
      <c r="B268" s="1" t="s">
        <v>936</v>
      </c>
      <c r="C268" s="1" t="n">
        <v>14</v>
      </c>
      <c r="E268" s="1" t="s">
        <v>962</v>
      </c>
      <c r="F268" s="1" t="s">
        <v>963</v>
      </c>
      <c r="J268" s="1" t="s">
        <v>964</v>
      </c>
      <c r="K268" s="1" t="n">
        <f aca="false">IF(Search!$D$5="",0,IF(AND(OR(Search!$N$5="",ISNUMBER(SEARCH(Search!$N$5,J268))),OR(Search!$N$6="",ISNUMBER(SEARCH(Search!$N$6,J268))),OR(Search!$N$7="",ISNUMBER(SEARCH(Search!$N$7,J268))),OR(Search!$N$8="",ISNUMBER(SEARCH(Search!$N$8,J268)))),1,0))</f>
        <v>0</v>
      </c>
      <c r="L268" s="1" t="n">
        <f aca="false">L267+K268</f>
        <v>0</v>
      </c>
    </row>
    <row r="269" customFormat="false" ht="15" hidden="false" customHeight="true" outlineLevel="0" collapsed="false">
      <c r="A269" s="1" t="s">
        <v>28</v>
      </c>
      <c r="B269" s="1" t="s">
        <v>936</v>
      </c>
      <c r="C269" s="1" t="n">
        <v>15</v>
      </c>
      <c r="E269" s="1" t="s">
        <v>965</v>
      </c>
      <c r="F269" s="1" t="s">
        <v>966</v>
      </c>
      <c r="J269" s="1" t="s">
        <v>967</v>
      </c>
      <c r="K269" s="1" t="n">
        <f aca="false">IF(Search!$D$5="",0,IF(AND(OR(Search!$N$5="",ISNUMBER(SEARCH(Search!$N$5,J269))),OR(Search!$N$6="",ISNUMBER(SEARCH(Search!$N$6,J269))),OR(Search!$N$7="",ISNUMBER(SEARCH(Search!$N$7,J269))),OR(Search!$N$8="",ISNUMBER(SEARCH(Search!$N$8,J269)))),1,0))</f>
        <v>0</v>
      </c>
      <c r="L269" s="1" t="n">
        <f aca="false">L268+K269</f>
        <v>0</v>
      </c>
    </row>
    <row r="270" customFormat="false" ht="15" hidden="false" customHeight="true" outlineLevel="0" collapsed="false">
      <c r="A270" s="1" t="s">
        <v>28</v>
      </c>
      <c r="B270" s="1" t="s">
        <v>936</v>
      </c>
      <c r="C270" s="1" t="n">
        <v>18</v>
      </c>
      <c r="E270" s="1" t="s">
        <v>968</v>
      </c>
      <c r="J270" s="1" t="s">
        <v>968</v>
      </c>
      <c r="K270" s="1" t="n">
        <f aca="false">IF(Search!$D$5="",0,IF(AND(OR(Search!$N$5="",ISNUMBER(SEARCH(Search!$N$5,J270))),OR(Search!$N$6="",ISNUMBER(SEARCH(Search!$N$6,J270))),OR(Search!$N$7="",ISNUMBER(SEARCH(Search!$N$7,J270))),OR(Search!$N$8="",ISNUMBER(SEARCH(Search!$N$8,J270)))),1,0))</f>
        <v>0</v>
      </c>
      <c r="L270" s="1" t="n">
        <f aca="false">L269+K270</f>
        <v>0</v>
      </c>
    </row>
    <row r="271" customFormat="false" ht="15" hidden="false" customHeight="true" outlineLevel="0" collapsed="false">
      <c r="A271" s="1" t="s">
        <v>28</v>
      </c>
      <c r="B271" s="1" t="s">
        <v>936</v>
      </c>
      <c r="C271" s="1" t="n">
        <v>19</v>
      </c>
      <c r="E271" s="1" t="s">
        <v>233</v>
      </c>
      <c r="F271" s="1" t="s">
        <v>969</v>
      </c>
      <c r="G271" s="1" t="s">
        <v>970</v>
      </c>
      <c r="H271" s="1" t="s">
        <v>971</v>
      </c>
      <c r="I271" s="1" t="s">
        <v>972</v>
      </c>
      <c r="J271" s="1" t="s">
        <v>973</v>
      </c>
      <c r="K271" s="1" t="n">
        <f aca="false">IF(Search!$D$5="",0,IF(AND(OR(Search!$N$5="",ISNUMBER(SEARCH(Search!$N$5,J271))),OR(Search!$N$6="",ISNUMBER(SEARCH(Search!$N$6,J271))),OR(Search!$N$7="",ISNUMBER(SEARCH(Search!$N$7,J271))),OR(Search!$N$8="",ISNUMBER(SEARCH(Search!$N$8,J271)))),1,0))</f>
        <v>0</v>
      </c>
      <c r="L271" s="1" t="n">
        <f aca="false">L270+K271</f>
        <v>0</v>
      </c>
    </row>
    <row r="272" customFormat="false" ht="15" hidden="false" customHeight="true" outlineLevel="0" collapsed="false">
      <c r="A272" s="1" t="s">
        <v>28</v>
      </c>
      <c r="B272" s="1" t="s">
        <v>936</v>
      </c>
      <c r="C272" s="1" t="n">
        <v>20</v>
      </c>
      <c r="E272" s="1" t="s">
        <v>974</v>
      </c>
      <c r="F272" s="1" t="s">
        <v>975</v>
      </c>
      <c r="G272" s="1" t="s">
        <v>976</v>
      </c>
      <c r="H272" s="1" t="s">
        <v>977</v>
      </c>
      <c r="I272" s="1" t="s">
        <v>587</v>
      </c>
      <c r="J272" s="1" t="s">
        <v>978</v>
      </c>
      <c r="K272" s="1" t="n">
        <f aca="false">IF(Search!$D$5="",0,IF(AND(OR(Search!$N$5="",ISNUMBER(SEARCH(Search!$N$5,J272))),OR(Search!$N$6="",ISNUMBER(SEARCH(Search!$N$6,J272))),OR(Search!$N$7="",ISNUMBER(SEARCH(Search!$N$7,J272))),OR(Search!$N$8="",ISNUMBER(SEARCH(Search!$N$8,J272)))),1,0))</f>
        <v>0</v>
      </c>
      <c r="L272" s="1" t="n">
        <f aca="false">L271+K272</f>
        <v>0</v>
      </c>
    </row>
    <row r="273" customFormat="false" ht="15" hidden="false" customHeight="true" outlineLevel="0" collapsed="false">
      <c r="A273" s="1" t="s">
        <v>28</v>
      </c>
      <c r="B273" s="1" t="s">
        <v>936</v>
      </c>
      <c r="C273" s="1" t="n">
        <v>21</v>
      </c>
      <c r="E273" s="1" t="s">
        <v>979</v>
      </c>
      <c r="F273" s="1" t="s">
        <v>980</v>
      </c>
      <c r="G273" s="1" t="s">
        <v>981</v>
      </c>
      <c r="H273" s="1" t="s">
        <v>977</v>
      </c>
      <c r="I273" s="1" t="s">
        <v>982</v>
      </c>
      <c r="J273" s="1" t="s">
        <v>983</v>
      </c>
      <c r="K273" s="1" t="n">
        <f aca="false">IF(Search!$D$5="",0,IF(AND(OR(Search!$N$5="",ISNUMBER(SEARCH(Search!$N$5,J273))),OR(Search!$N$6="",ISNUMBER(SEARCH(Search!$N$6,J273))),OR(Search!$N$7="",ISNUMBER(SEARCH(Search!$N$7,J273))),OR(Search!$N$8="",ISNUMBER(SEARCH(Search!$N$8,J273)))),1,0))</f>
        <v>0</v>
      </c>
      <c r="L273" s="1" t="n">
        <f aca="false">L272+K273</f>
        <v>0</v>
      </c>
    </row>
    <row r="274" customFormat="false" ht="15" hidden="false" customHeight="true" outlineLevel="0" collapsed="false">
      <c r="A274" s="1" t="s">
        <v>28</v>
      </c>
      <c r="B274" s="1" t="s">
        <v>936</v>
      </c>
      <c r="C274" s="1" t="n">
        <v>22</v>
      </c>
      <c r="E274" s="1" t="s">
        <v>984</v>
      </c>
      <c r="F274" s="1" t="s">
        <v>984</v>
      </c>
      <c r="G274" s="1" t="s">
        <v>985</v>
      </c>
      <c r="H274" s="1" t="s">
        <v>986</v>
      </c>
      <c r="I274" s="1" t="s">
        <v>987</v>
      </c>
      <c r="J274" s="1" t="s">
        <v>988</v>
      </c>
      <c r="K274" s="1" t="n">
        <f aca="false">IF(Search!$D$5="",0,IF(AND(OR(Search!$N$5="",ISNUMBER(SEARCH(Search!$N$5,J274))),OR(Search!$N$6="",ISNUMBER(SEARCH(Search!$N$6,J274))),OR(Search!$N$7="",ISNUMBER(SEARCH(Search!$N$7,J274))),OR(Search!$N$8="",ISNUMBER(SEARCH(Search!$N$8,J274)))),1,0))</f>
        <v>0</v>
      </c>
      <c r="L274" s="1" t="n">
        <f aca="false">L273+K274</f>
        <v>0</v>
      </c>
    </row>
    <row r="275" customFormat="false" ht="15" hidden="false" customHeight="true" outlineLevel="0" collapsed="false">
      <c r="A275" s="1" t="s">
        <v>28</v>
      </c>
      <c r="B275" s="1" t="s">
        <v>936</v>
      </c>
      <c r="C275" s="1" t="n">
        <v>23</v>
      </c>
      <c r="E275" s="1" t="s">
        <v>989</v>
      </c>
      <c r="F275" s="1" t="s">
        <v>990</v>
      </c>
      <c r="G275" s="1" t="s">
        <v>991</v>
      </c>
      <c r="H275" s="1" t="s">
        <v>977</v>
      </c>
      <c r="I275" s="1" t="s">
        <v>992</v>
      </c>
      <c r="J275" s="1" t="s">
        <v>993</v>
      </c>
      <c r="K275" s="1" t="n">
        <f aca="false">IF(Search!$D$5="",0,IF(AND(OR(Search!$N$5="",ISNUMBER(SEARCH(Search!$N$5,J275))),OR(Search!$N$6="",ISNUMBER(SEARCH(Search!$N$6,J275))),OR(Search!$N$7="",ISNUMBER(SEARCH(Search!$N$7,J275))),OR(Search!$N$8="",ISNUMBER(SEARCH(Search!$N$8,J275)))),1,0))</f>
        <v>0</v>
      </c>
      <c r="L275" s="1" t="n">
        <f aca="false">L274+K275</f>
        <v>0</v>
      </c>
    </row>
    <row r="276" customFormat="false" ht="15" hidden="false" customHeight="true" outlineLevel="0" collapsed="false">
      <c r="A276" s="1" t="s">
        <v>28</v>
      </c>
      <c r="B276" s="1" t="s">
        <v>936</v>
      </c>
      <c r="C276" s="1" t="n">
        <v>26</v>
      </c>
      <c r="E276" s="1" t="s">
        <v>994</v>
      </c>
      <c r="J276" s="1" t="s">
        <v>994</v>
      </c>
      <c r="K276" s="1" t="n">
        <f aca="false">IF(Search!$D$5="",0,IF(AND(OR(Search!$N$5="",ISNUMBER(SEARCH(Search!$N$5,J276))),OR(Search!$N$6="",ISNUMBER(SEARCH(Search!$N$6,J276))),OR(Search!$N$7="",ISNUMBER(SEARCH(Search!$N$7,J276))),OR(Search!$N$8="",ISNUMBER(SEARCH(Search!$N$8,J276)))),1,0))</f>
        <v>0</v>
      </c>
      <c r="L276" s="1" t="n">
        <f aca="false">L275+K276</f>
        <v>0</v>
      </c>
    </row>
    <row r="277" customFormat="false" ht="15" hidden="false" customHeight="true" outlineLevel="0" collapsed="false">
      <c r="A277" s="1" t="s">
        <v>28</v>
      </c>
      <c r="B277" s="1" t="s">
        <v>936</v>
      </c>
      <c r="C277" s="1" t="n">
        <v>27</v>
      </c>
      <c r="E277" s="1" t="s">
        <v>995</v>
      </c>
      <c r="F277" s="1" t="s">
        <v>996</v>
      </c>
      <c r="J277" s="1" t="s">
        <v>997</v>
      </c>
      <c r="K277" s="1" t="n">
        <f aca="false">IF(Search!$D$5="",0,IF(AND(OR(Search!$N$5="",ISNUMBER(SEARCH(Search!$N$5,J277))),OR(Search!$N$6="",ISNUMBER(SEARCH(Search!$N$6,J277))),OR(Search!$N$7="",ISNUMBER(SEARCH(Search!$N$7,J277))),OR(Search!$N$8="",ISNUMBER(SEARCH(Search!$N$8,J277)))),1,0))</f>
        <v>0</v>
      </c>
      <c r="L277" s="1" t="n">
        <f aca="false">L276+K277</f>
        <v>0</v>
      </c>
    </row>
    <row r="278" customFormat="false" ht="15" hidden="false" customHeight="true" outlineLevel="0" collapsed="false">
      <c r="A278" s="1" t="s">
        <v>28</v>
      </c>
      <c r="B278" s="1" t="s">
        <v>936</v>
      </c>
      <c r="C278" s="1" t="n">
        <v>28</v>
      </c>
      <c r="E278" s="1" t="s">
        <v>998</v>
      </c>
      <c r="F278" s="1" t="s">
        <v>999</v>
      </c>
      <c r="J278" s="1" t="s">
        <v>1000</v>
      </c>
      <c r="K278" s="1" t="n">
        <f aca="false">IF(Search!$D$5="",0,IF(AND(OR(Search!$N$5="",ISNUMBER(SEARCH(Search!$N$5,J278))),OR(Search!$N$6="",ISNUMBER(SEARCH(Search!$N$6,J278))),OR(Search!$N$7="",ISNUMBER(SEARCH(Search!$N$7,J278))),OR(Search!$N$8="",ISNUMBER(SEARCH(Search!$N$8,J278)))),1,0))</f>
        <v>0</v>
      </c>
      <c r="L278" s="1" t="n">
        <f aca="false">L277+K278</f>
        <v>0</v>
      </c>
    </row>
    <row r="279" customFormat="false" ht="15" hidden="false" customHeight="true" outlineLevel="0" collapsed="false">
      <c r="A279" s="1" t="s">
        <v>28</v>
      </c>
      <c r="B279" s="1" t="s">
        <v>936</v>
      </c>
      <c r="C279" s="1" t="n">
        <v>29</v>
      </c>
      <c r="E279" s="1" t="s">
        <v>1001</v>
      </c>
      <c r="F279" s="1" t="s">
        <v>1002</v>
      </c>
      <c r="J279" s="1" t="s">
        <v>1003</v>
      </c>
      <c r="K279" s="1" t="n">
        <f aca="false">IF(Search!$D$5="",0,IF(AND(OR(Search!$N$5="",ISNUMBER(SEARCH(Search!$N$5,J279))),OR(Search!$N$6="",ISNUMBER(SEARCH(Search!$N$6,J279))),OR(Search!$N$7="",ISNUMBER(SEARCH(Search!$N$7,J279))),OR(Search!$N$8="",ISNUMBER(SEARCH(Search!$N$8,J279)))),1,0))</f>
        <v>0</v>
      </c>
      <c r="L279" s="1" t="n">
        <f aca="false">L278+K279</f>
        <v>0</v>
      </c>
    </row>
    <row r="280" customFormat="false" ht="15" hidden="false" customHeight="true" outlineLevel="0" collapsed="false">
      <c r="A280" s="1" t="s">
        <v>28</v>
      </c>
      <c r="B280" s="1" t="s">
        <v>936</v>
      </c>
      <c r="C280" s="1" t="n">
        <v>30</v>
      </c>
      <c r="E280" s="1" t="s">
        <v>1004</v>
      </c>
      <c r="F280" s="1" t="s">
        <v>1005</v>
      </c>
      <c r="J280" s="1" t="s">
        <v>1006</v>
      </c>
      <c r="K280" s="1" t="n">
        <f aca="false">IF(Search!$D$5="",0,IF(AND(OR(Search!$N$5="",ISNUMBER(SEARCH(Search!$N$5,J280))),OR(Search!$N$6="",ISNUMBER(SEARCH(Search!$N$6,J280))),OR(Search!$N$7="",ISNUMBER(SEARCH(Search!$N$7,J280))),OR(Search!$N$8="",ISNUMBER(SEARCH(Search!$N$8,J280)))),1,0))</f>
        <v>0</v>
      </c>
      <c r="L280" s="1" t="n">
        <f aca="false">L279+K280</f>
        <v>0</v>
      </c>
    </row>
    <row r="281" customFormat="false" ht="15" hidden="false" customHeight="true" outlineLevel="0" collapsed="false">
      <c r="A281" s="1" t="s">
        <v>28</v>
      </c>
      <c r="B281" s="1" t="s">
        <v>936</v>
      </c>
      <c r="C281" s="1" t="n">
        <v>31</v>
      </c>
      <c r="E281" s="1" t="s">
        <v>1007</v>
      </c>
      <c r="F281" s="1" t="s">
        <v>1008</v>
      </c>
      <c r="J281" s="1" t="s">
        <v>1009</v>
      </c>
      <c r="K281" s="1" t="n">
        <f aca="false">IF(Search!$D$5="",0,IF(AND(OR(Search!$N$5="",ISNUMBER(SEARCH(Search!$N$5,J281))),OR(Search!$N$6="",ISNUMBER(SEARCH(Search!$N$6,J281))),OR(Search!$N$7="",ISNUMBER(SEARCH(Search!$N$7,J281))),OR(Search!$N$8="",ISNUMBER(SEARCH(Search!$N$8,J281)))),1,0))</f>
        <v>0</v>
      </c>
      <c r="L281" s="1" t="n">
        <f aca="false">L280+K281</f>
        <v>0</v>
      </c>
    </row>
    <row r="282" customFormat="false" ht="15" hidden="false" customHeight="true" outlineLevel="0" collapsed="false">
      <c r="A282" s="1" t="s">
        <v>28</v>
      </c>
      <c r="B282" s="1" t="s">
        <v>936</v>
      </c>
      <c r="C282" s="1" t="n">
        <v>32</v>
      </c>
      <c r="E282" s="1" t="s">
        <v>1010</v>
      </c>
      <c r="F282" s="1" t="s">
        <v>1011</v>
      </c>
      <c r="J282" s="1" t="s">
        <v>1012</v>
      </c>
      <c r="K282" s="1" t="n">
        <f aca="false">IF(Search!$D$5="",0,IF(AND(OR(Search!$N$5="",ISNUMBER(SEARCH(Search!$N$5,J282))),OR(Search!$N$6="",ISNUMBER(SEARCH(Search!$N$6,J282))),OR(Search!$N$7="",ISNUMBER(SEARCH(Search!$N$7,J282))),OR(Search!$N$8="",ISNUMBER(SEARCH(Search!$N$8,J282)))),1,0))</f>
        <v>0</v>
      </c>
      <c r="L282" s="1" t="n">
        <f aca="false">L281+K282</f>
        <v>0</v>
      </c>
    </row>
    <row r="283" customFormat="false" ht="15" hidden="false" customHeight="true" outlineLevel="0" collapsed="false">
      <c r="A283" s="1" t="s">
        <v>28</v>
      </c>
      <c r="B283" s="1" t="s">
        <v>936</v>
      </c>
      <c r="C283" s="1" t="n">
        <v>33</v>
      </c>
      <c r="E283" s="1" t="s">
        <v>1013</v>
      </c>
      <c r="F283" s="1" t="s">
        <v>1014</v>
      </c>
      <c r="J283" s="1" t="s">
        <v>1015</v>
      </c>
      <c r="K283" s="1" t="n">
        <f aca="false">IF(Search!$D$5="",0,IF(AND(OR(Search!$N$5="",ISNUMBER(SEARCH(Search!$N$5,J283))),OR(Search!$N$6="",ISNUMBER(SEARCH(Search!$N$6,J283))),OR(Search!$N$7="",ISNUMBER(SEARCH(Search!$N$7,J283))),OR(Search!$N$8="",ISNUMBER(SEARCH(Search!$N$8,J283)))),1,0))</f>
        <v>0</v>
      </c>
      <c r="L283" s="1" t="n">
        <f aca="false">L282+K283</f>
        <v>0</v>
      </c>
    </row>
    <row r="284" customFormat="false" ht="15" hidden="false" customHeight="true" outlineLevel="0" collapsed="false">
      <c r="A284" s="1" t="s">
        <v>28</v>
      </c>
      <c r="B284" s="1" t="s">
        <v>936</v>
      </c>
      <c r="C284" s="1" t="n">
        <v>34</v>
      </c>
      <c r="E284" s="1" t="s">
        <v>1016</v>
      </c>
      <c r="F284" s="1" t="s">
        <v>1017</v>
      </c>
      <c r="J284" s="1" t="s">
        <v>1018</v>
      </c>
      <c r="K284" s="1" t="n">
        <f aca="false">IF(Search!$D$5="",0,IF(AND(OR(Search!$N$5="",ISNUMBER(SEARCH(Search!$N$5,J284))),OR(Search!$N$6="",ISNUMBER(SEARCH(Search!$N$6,J284))),OR(Search!$N$7="",ISNUMBER(SEARCH(Search!$N$7,J284))),OR(Search!$N$8="",ISNUMBER(SEARCH(Search!$N$8,J284)))),1,0))</f>
        <v>0</v>
      </c>
      <c r="L284" s="1" t="n">
        <f aca="false">L283+K284</f>
        <v>0</v>
      </c>
    </row>
    <row r="285" customFormat="false" ht="15" hidden="false" customHeight="true" outlineLevel="0" collapsed="false">
      <c r="A285" s="1" t="s">
        <v>28</v>
      </c>
      <c r="B285" s="1" t="s">
        <v>936</v>
      </c>
      <c r="C285" s="1" t="n">
        <v>35</v>
      </c>
      <c r="E285" s="1" t="s">
        <v>1019</v>
      </c>
      <c r="F285" s="1" t="s">
        <v>1020</v>
      </c>
      <c r="J285" s="1" t="s">
        <v>1021</v>
      </c>
      <c r="K285" s="1" t="n">
        <f aca="false">IF(Search!$D$5="",0,IF(AND(OR(Search!$N$5="",ISNUMBER(SEARCH(Search!$N$5,J285))),OR(Search!$N$6="",ISNUMBER(SEARCH(Search!$N$6,J285))),OR(Search!$N$7="",ISNUMBER(SEARCH(Search!$N$7,J285))),OR(Search!$N$8="",ISNUMBER(SEARCH(Search!$N$8,J285)))),1,0))</f>
        <v>0</v>
      </c>
      <c r="L285" s="1" t="n">
        <f aca="false">L284+K285</f>
        <v>0</v>
      </c>
    </row>
    <row r="286" customFormat="false" ht="15" hidden="false" customHeight="true" outlineLevel="0" collapsed="false">
      <c r="A286" s="1" t="s">
        <v>28</v>
      </c>
      <c r="B286" s="1" t="s">
        <v>936</v>
      </c>
      <c r="C286" s="1" t="n">
        <v>36</v>
      </c>
      <c r="E286" s="1" t="s">
        <v>1022</v>
      </c>
      <c r="F286" s="1" t="s">
        <v>1023</v>
      </c>
      <c r="J286" s="1" t="s">
        <v>1024</v>
      </c>
      <c r="K286" s="1" t="n">
        <f aca="false">IF(Search!$D$5="",0,IF(AND(OR(Search!$N$5="",ISNUMBER(SEARCH(Search!$N$5,J286))),OR(Search!$N$6="",ISNUMBER(SEARCH(Search!$N$6,J286))),OR(Search!$N$7="",ISNUMBER(SEARCH(Search!$N$7,J286))),OR(Search!$N$8="",ISNUMBER(SEARCH(Search!$N$8,J286)))),1,0))</f>
        <v>0</v>
      </c>
      <c r="L286" s="1" t="n">
        <f aca="false">L285+K286</f>
        <v>0</v>
      </c>
    </row>
    <row r="287" customFormat="false" ht="15" hidden="false" customHeight="true" outlineLevel="0" collapsed="false">
      <c r="A287" s="1" t="s">
        <v>28</v>
      </c>
      <c r="B287" s="1" t="s">
        <v>936</v>
      </c>
      <c r="C287" s="1" t="n">
        <v>38</v>
      </c>
      <c r="E287" s="1" t="s">
        <v>1025</v>
      </c>
      <c r="J287" s="1" t="s">
        <v>1025</v>
      </c>
      <c r="K287" s="1" t="n">
        <f aca="false">IF(Search!$D$5="",0,IF(AND(OR(Search!$N$5="",ISNUMBER(SEARCH(Search!$N$5,J287))),OR(Search!$N$6="",ISNUMBER(SEARCH(Search!$N$6,J287))),OR(Search!$N$7="",ISNUMBER(SEARCH(Search!$N$7,J287))),OR(Search!$N$8="",ISNUMBER(SEARCH(Search!$N$8,J287)))),1,0))</f>
        <v>0</v>
      </c>
      <c r="L287" s="1" t="n">
        <f aca="false">L286+K287</f>
        <v>0</v>
      </c>
    </row>
    <row r="288" customFormat="false" ht="15" hidden="false" customHeight="true" outlineLevel="0" collapsed="false">
      <c r="A288" s="1" t="s">
        <v>258</v>
      </c>
      <c r="B288" s="1" t="s">
        <v>936</v>
      </c>
      <c r="C288" s="1" t="n">
        <v>2</v>
      </c>
      <c r="E288" s="1" t="s">
        <v>1026</v>
      </c>
      <c r="J288" s="1" t="s">
        <v>1026</v>
      </c>
      <c r="K288" s="1" t="n">
        <f aca="false">IF(Search!$D$5="",0,IF(AND(OR(Search!$N$5="",ISNUMBER(SEARCH(Search!$N$5,J288))),OR(Search!$N$6="",ISNUMBER(SEARCH(Search!$N$6,J288))),OR(Search!$N$7="",ISNUMBER(SEARCH(Search!$N$7,J288))),OR(Search!$N$8="",ISNUMBER(SEARCH(Search!$N$8,J288)))),1,0))</f>
        <v>0</v>
      </c>
      <c r="L288" s="1" t="n">
        <f aca="false">L287+K288</f>
        <v>0</v>
      </c>
    </row>
    <row r="289" customFormat="false" ht="15" hidden="false" customHeight="true" outlineLevel="0" collapsed="false">
      <c r="A289" s="1" t="s">
        <v>258</v>
      </c>
      <c r="B289" s="1" t="s">
        <v>936</v>
      </c>
      <c r="C289" s="1" t="n">
        <v>3</v>
      </c>
      <c r="E289" s="1" t="s">
        <v>1027</v>
      </c>
      <c r="J289" s="1" t="s">
        <v>1027</v>
      </c>
      <c r="K289" s="1" t="n">
        <f aca="false">IF(Search!$D$5="",0,IF(AND(OR(Search!$N$5="",ISNUMBER(SEARCH(Search!$N$5,J289))),OR(Search!$N$6="",ISNUMBER(SEARCH(Search!$N$6,J289))),OR(Search!$N$7="",ISNUMBER(SEARCH(Search!$N$7,J289))),OR(Search!$N$8="",ISNUMBER(SEARCH(Search!$N$8,J289)))),1,0))</f>
        <v>0</v>
      </c>
      <c r="L289" s="1" t="n">
        <f aca="false">L288+K289</f>
        <v>0</v>
      </c>
    </row>
    <row r="290" customFormat="false" ht="15" hidden="false" customHeight="true" outlineLevel="0" collapsed="false">
      <c r="A290" s="1" t="s">
        <v>258</v>
      </c>
      <c r="B290" s="1" t="s">
        <v>936</v>
      </c>
      <c r="C290" s="1" t="n">
        <v>5</v>
      </c>
      <c r="E290" s="1" t="s">
        <v>1028</v>
      </c>
      <c r="F290" s="1" t="s">
        <v>1029</v>
      </c>
      <c r="J290" s="1" t="s">
        <v>1030</v>
      </c>
      <c r="K290" s="1" t="n">
        <f aca="false">IF(Search!$D$5="",0,IF(AND(OR(Search!$N$5="",ISNUMBER(SEARCH(Search!$N$5,J290))),OR(Search!$N$6="",ISNUMBER(SEARCH(Search!$N$6,J290))),OR(Search!$N$7="",ISNUMBER(SEARCH(Search!$N$7,J290))),OR(Search!$N$8="",ISNUMBER(SEARCH(Search!$N$8,J290)))),1,0))</f>
        <v>0</v>
      </c>
      <c r="L290" s="1" t="n">
        <f aca="false">L289+K290</f>
        <v>0</v>
      </c>
    </row>
    <row r="291" customFormat="false" ht="15" hidden="false" customHeight="true" outlineLevel="0" collapsed="false">
      <c r="A291" s="1" t="s">
        <v>258</v>
      </c>
      <c r="B291" s="1" t="s">
        <v>936</v>
      </c>
      <c r="C291" s="1" t="n">
        <v>6</v>
      </c>
      <c r="E291" s="1" t="s">
        <v>632</v>
      </c>
      <c r="F291" s="1" t="s">
        <v>1031</v>
      </c>
      <c r="J291" s="1" t="s">
        <v>1032</v>
      </c>
      <c r="K291" s="1" t="n">
        <f aca="false">IF(Search!$D$5="",0,IF(AND(OR(Search!$N$5="",ISNUMBER(SEARCH(Search!$N$5,J291))),OR(Search!$N$6="",ISNUMBER(SEARCH(Search!$N$6,J291))),OR(Search!$N$7="",ISNUMBER(SEARCH(Search!$N$7,J291))),OR(Search!$N$8="",ISNUMBER(SEARCH(Search!$N$8,J291)))),1,0))</f>
        <v>0</v>
      </c>
      <c r="L291" s="1" t="n">
        <f aca="false">L290+K291</f>
        <v>0</v>
      </c>
    </row>
    <row r="292" customFormat="false" ht="15" hidden="false" customHeight="true" outlineLevel="0" collapsed="false">
      <c r="A292" s="1" t="s">
        <v>258</v>
      </c>
      <c r="B292" s="1" t="s">
        <v>936</v>
      </c>
      <c r="C292" s="1" t="n">
        <v>7</v>
      </c>
      <c r="E292" s="1" t="s">
        <v>1033</v>
      </c>
      <c r="F292" s="1" t="s">
        <v>1034</v>
      </c>
      <c r="J292" s="1" t="s">
        <v>1035</v>
      </c>
      <c r="K292" s="1" t="n">
        <f aca="false">IF(Search!$D$5="",0,IF(AND(OR(Search!$N$5="",ISNUMBER(SEARCH(Search!$N$5,J292))),OR(Search!$N$6="",ISNUMBER(SEARCH(Search!$N$6,J292))),OR(Search!$N$7="",ISNUMBER(SEARCH(Search!$N$7,J292))),OR(Search!$N$8="",ISNUMBER(SEARCH(Search!$N$8,J292)))),1,0))</f>
        <v>0</v>
      </c>
      <c r="L292" s="1" t="n">
        <f aca="false">L291+K292</f>
        <v>0</v>
      </c>
    </row>
    <row r="293" customFormat="false" ht="15" hidden="false" customHeight="true" outlineLevel="0" collapsed="false">
      <c r="A293" s="1" t="s">
        <v>258</v>
      </c>
      <c r="B293" s="1" t="s">
        <v>936</v>
      </c>
      <c r="C293" s="1" t="n">
        <v>8</v>
      </c>
      <c r="E293" s="1" t="s">
        <v>1036</v>
      </c>
      <c r="F293" s="1" t="s">
        <v>1037</v>
      </c>
      <c r="J293" s="1" t="s">
        <v>1038</v>
      </c>
      <c r="K293" s="1" t="n">
        <f aca="false">IF(Search!$D$5="",0,IF(AND(OR(Search!$N$5="",ISNUMBER(SEARCH(Search!$N$5,J293))),OR(Search!$N$6="",ISNUMBER(SEARCH(Search!$N$6,J293))),OR(Search!$N$7="",ISNUMBER(SEARCH(Search!$N$7,J293))),OR(Search!$N$8="",ISNUMBER(SEARCH(Search!$N$8,J293)))),1,0))</f>
        <v>0</v>
      </c>
      <c r="L293" s="1" t="n">
        <f aca="false">L292+K293</f>
        <v>0</v>
      </c>
    </row>
    <row r="294" customFormat="false" ht="15" hidden="false" customHeight="true" outlineLevel="0" collapsed="false">
      <c r="A294" s="1" t="s">
        <v>258</v>
      </c>
      <c r="B294" s="1" t="s">
        <v>936</v>
      </c>
      <c r="C294" s="1" t="n">
        <v>10</v>
      </c>
      <c r="E294" s="1" t="s">
        <v>1039</v>
      </c>
      <c r="J294" s="1" t="s">
        <v>1039</v>
      </c>
      <c r="K294" s="1" t="n">
        <f aca="false">IF(Search!$D$5="",0,IF(AND(OR(Search!$N$5="",ISNUMBER(SEARCH(Search!$N$5,J294))),OR(Search!$N$6="",ISNUMBER(SEARCH(Search!$N$6,J294))),OR(Search!$N$7="",ISNUMBER(SEARCH(Search!$N$7,J294))),OR(Search!$N$8="",ISNUMBER(SEARCH(Search!$N$8,J294)))),1,0))</f>
        <v>0</v>
      </c>
      <c r="L294" s="1" t="n">
        <f aca="false">L293+K294</f>
        <v>0</v>
      </c>
    </row>
    <row r="295" customFormat="false" ht="15" hidden="false" customHeight="true" outlineLevel="0" collapsed="false">
      <c r="A295" s="1" t="s">
        <v>258</v>
      </c>
      <c r="B295" s="1" t="s">
        <v>936</v>
      </c>
      <c r="C295" s="1" t="n">
        <v>11</v>
      </c>
      <c r="F295" s="1" t="s">
        <v>1040</v>
      </c>
      <c r="J295" s="1" t="s">
        <v>1040</v>
      </c>
      <c r="K295" s="1" t="n">
        <f aca="false">IF(Search!$D$5="",0,IF(AND(OR(Search!$N$5="",ISNUMBER(SEARCH(Search!$N$5,J295))),OR(Search!$N$6="",ISNUMBER(SEARCH(Search!$N$6,J295))),OR(Search!$N$7="",ISNUMBER(SEARCH(Search!$N$7,J295))),OR(Search!$N$8="",ISNUMBER(SEARCH(Search!$N$8,J295)))),1,0))</f>
        <v>0</v>
      </c>
      <c r="L295" s="1" t="n">
        <f aca="false">L294+K295</f>
        <v>0</v>
      </c>
    </row>
    <row r="296" customFormat="false" ht="27.75" hidden="false" customHeight="true" outlineLevel="0" collapsed="false">
      <c r="A296" s="1" t="s">
        <v>258</v>
      </c>
      <c r="B296" s="1" t="s">
        <v>936</v>
      </c>
      <c r="C296" s="1" t="n">
        <v>12</v>
      </c>
      <c r="E296" s="46" t="s">
        <v>1041</v>
      </c>
      <c r="F296" s="1" t="s">
        <v>1042</v>
      </c>
      <c r="G296" s="1" t="s">
        <v>1043</v>
      </c>
      <c r="H296" s="1" t="s">
        <v>1044</v>
      </c>
      <c r="I296" s="1" t="s">
        <v>1045</v>
      </c>
      <c r="J296" s="46" t="s">
        <v>1046</v>
      </c>
      <c r="K296" s="1" t="n">
        <f aca="false">IF(Search!$D$5="",0,IF(AND(OR(Search!$N$5="",ISNUMBER(SEARCH(Search!$N$5,J296))),OR(Search!$N$6="",ISNUMBER(SEARCH(Search!$N$6,J296))),OR(Search!$N$7="",ISNUMBER(SEARCH(Search!$N$7,J296))),OR(Search!$N$8="",ISNUMBER(SEARCH(Search!$N$8,J296)))),1,0))</f>
        <v>0</v>
      </c>
      <c r="L296" s="1" t="n">
        <f aca="false">L295+K296</f>
        <v>0</v>
      </c>
    </row>
    <row r="297" customFormat="false" ht="15" hidden="false" customHeight="true" outlineLevel="0" collapsed="false">
      <c r="A297" s="1" t="s">
        <v>258</v>
      </c>
      <c r="B297" s="1" t="s">
        <v>936</v>
      </c>
      <c r="C297" s="1" t="n">
        <v>13</v>
      </c>
      <c r="E297" s="1" t="s">
        <v>1047</v>
      </c>
      <c r="F297" s="1" t="s">
        <v>1048</v>
      </c>
      <c r="G297" s="1" t="s">
        <v>1048</v>
      </c>
      <c r="H297" s="1" t="s">
        <v>1048</v>
      </c>
      <c r="I297" s="1" t="s">
        <v>1048</v>
      </c>
      <c r="J297" s="1" t="s">
        <v>1049</v>
      </c>
      <c r="K297" s="1" t="n">
        <f aca="false">IF(Search!$D$5="",0,IF(AND(OR(Search!$N$5="",ISNUMBER(SEARCH(Search!$N$5,J297))),OR(Search!$N$6="",ISNUMBER(SEARCH(Search!$N$6,J297))),OR(Search!$N$7="",ISNUMBER(SEARCH(Search!$N$7,J297))),OR(Search!$N$8="",ISNUMBER(SEARCH(Search!$N$8,J297)))),1,0))</f>
        <v>0</v>
      </c>
      <c r="L297" s="1" t="n">
        <f aca="false">L296+K297</f>
        <v>0</v>
      </c>
    </row>
    <row r="298" customFormat="false" ht="15" hidden="false" customHeight="true" outlineLevel="0" collapsed="false">
      <c r="A298" s="1" t="s">
        <v>258</v>
      </c>
      <c r="B298" s="1" t="s">
        <v>936</v>
      </c>
      <c r="C298" s="1" t="n">
        <v>14</v>
      </c>
      <c r="E298" s="1" t="s">
        <v>1050</v>
      </c>
      <c r="F298" s="1" t="s">
        <v>1048</v>
      </c>
      <c r="G298" s="1" t="s">
        <v>1048</v>
      </c>
      <c r="I298" s="1" t="s">
        <v>1048</v>
      </c>
      <c r="J298" s="1" t="s">
        <v>1051</v>
      </c>
      <c r="K298" s="1" t="n">
        <f aca="false">IF(Search!$D$5="",0,IF(AND(OR(Search!$N$5="",ISNUMBER(SEARCH(Search!$N$5,J298))),OR(Search!$N$6="",ISNUMBER(SEARCH(Search!$N$6,J298))),OR(Search!$N$7="",ISNUMBER(SEARCH(Search!$N$7,J298))),OR(Search!$N$8="",ISNUMBER(SEARCH(Search!$N$8,J298)))),1,0))</f>
        <v>0</v>
      </c>
      <c r="L298" s="1" t="n">
        <f aca="false">L297+K298</f>
        <v>0</v>
      </c>
    </row>
    <row r="299" customFormat="false" ht="15" hidden="false" customHeight="true" outlineLevel="0" collapsed="false">
      <c r="A299" s="1" t="s">
        <v>258</v>
      </c>
      <c r="B299" s="1" t="s">
        <v>936</v>
      </c>
      <c r="C299" s="1" t="n">
        <v>15</v>
      </c>
      <c r="E299" s="1" t="s">
        <v>1052</v>
      </c>
      <c r="F299" s="1" t="s">
        <v>1048</v>
      </c>
      <c r="G299" s="1" t="s">
        <v>1048</v>
      </c>
      <c r="H299" s="1" t="s">
        <v>1048</v>
      </c>
      <c r="I299" s="1" t="s">
        <v>1048</v>
      </c>
      <c r="J299" s="1" t="s">
        <v>1053</v>
      </c>
      <c r="K299" s="1" t="n">
        <f aca="false">IF(Search!$D$5="",0,IF(AND(OR(Search!$N$5="",ISNUMBER(SEARCH(Search!$N$5,J299))),OR(Search!$N$6="",ISNUMBER(SEARCH(Search!$N$6,J299))),OR(Search!$N$7="",ISNUMBER(SEARCH(Search!$N$7,J299))),OR(Search!$N$8="",ISNUMBER(SEARCH(Search!$N$8,J299)))),1,0))</f>
        <v>0</v>
      </c>
      <c r="L299" s="1" t="n">
        <f aca="false">L298+K299</f>
        <v>0</v>
      </c>
    </row>
    <row r="300" customFormat="false" ht="15" hidden="false" customHeight="true" outlineLevel="0" collapsed="false">
      <c r="A300" s="1" t="s">
        <v>258</v>
      </c>
      <c r="B300" s="1" t="s">
        <v>936</v>
      </c>
      <c r="C300" s="1" t="n">
        <v>16</v>
      </c>
      <c r="E300" s="1" t="s">
        <v>1054</v>
      </c>
      <c r="F300" s="1" t="s">
        <v>1048</v>
      </c>
      <c r="G300" s="1" t="s">
        <v>1048</v>
      </c>
      <c r="H300" s="1" t="s">
        <v>1048</v>
      </c>
      <c r="I300" s="1" t="s">
        <v>1048</v>
      </c>
      <c r="J300" s="1" t="s">
        <v>1055</v>
      </c>
      <c r="K300" s="1" t="n">
        <f aca="false">IF(Search!$D$5="",0,IF(AND(OR(Search!$N$5="",ISNUMBER(SEARCH(Search!$N$5,J300))),OR(Search!$N$6="",ISNUMBER(SEARCH(Search!$N$6,J300))),OR(Search!$N$7="",ISNUMBER(SEARCH(Search!$N$7,J300))),OR(Search!$N$8="",ISNUMBER(SEARCH(Search!$N$8,J300)))),1,0))</f>
        <v>0</v>
      </c>
      <c r="L300" s="1" t="n">
        <f aca="false">L299+K300</f>
        <v>0</v>
      </c>
    </row>
    <row r="301" customFormat="false" ht="15" hidden="false" customHeight="true" outlineLevel="0" collapsed="false">
      <c r="A301" s="1" t="s">
        <v>258</v>
      </c>
      <c r="B301" s="1" t="s">
        <v>936</v>
      </c>
      <c r="C301" s="1" t="n">
        <v>17</v>
      </c>
      <c r="E301" s="1" t="s">
        <v>1056</v>
      </c>
      <c r="F301" s="1" t="s">
        <v>1048</v>
      </c>
      <c r="G301" s="1" t="s">
        <v>1048</v>
      </c>
      <c r="H301" s="1" t="s">
        <v>1048</v>
      </c>
      <c r="I301" s="1" t="s">
        <v>1048</v>
      </c>
      <c r="J301" s="1" t="s">
        <v>1057</v>
      </c>
      <c r="K301" s="1" t="n">
        <f aca="false">IF(Search!$D$5="",0,IF(AND(OR(Search!$N$5="",ISNUMBER(SEARCH(Search!$N$5,J301))),OR(Search!$N$6="",ISNUMBER(SEARCH(Search!$N$6,J301))),OR(Search!$N$7="",ISNUMBER(SEARCH(Search!$N$7,J301))),OR(Search!$N$8="",ISNUMBER(SEARCH(Search!$N$8,J301)))),1,0))</f>
        <v>0</v>
      </c>
      <c r="L301" s="1" t="n">
        <f aca="false">L300+K301</f>
        <v>0</v>
      </c>
    </row>
    <row r="302" customFormat="false" ht="15" hidden="false" customHeight="true" outlineLevel="0" collapsed="false">
      <c r="A302" s="1" t="s">
        <v>258</v>
      </c>
      <c r="B302" s="1" t="s">
        <v>936</v>
      </c>
      <c r="C302" s="1" t="n">
        <v>18</v>
      </c>
      <c r="E302" s="1" t="s">
        <v>1058</v>
      </c>
      <c r="I302" s="1" t="s">
        <v>1048</v>
      </c>
      <c r="J302" s="1" t="s">
        <v>1059</v>
      </c>
      <c r="K302" s="1" t="n">
        <f aca="false">IF(Search!$D$5="",0,IF(AND(OR(Search!$N$5="",ISNUMBER(SEARCH(Search!$N$5,J302))),OR(Search!$N$6="",ISNUMBER(SEARCH(Search!$N$6,J302))),OR(Search!$N$7="",ISNUMBER(SEARCH(Search!$N$7,J302))),OR(Search!$N$8="",ISNUMBER(SEARCH(Search!$N$8,J302)))),1,0))</f>
        <v>0</v>
      </c>
      <c r="L302" s="1" t="n">
        <f aca="false">L301+K302</f>
        <v>0</v>
      </c>
    </row>
    <row r="303" customFormat="false" ht="15" hidden="false" customHeight="true" outlineLevel="0" collapsed="false">
      <c r="A303" s="1" t="s">
        <v>258</v>
      </c>
      <c r="B303" s="1" t="s">
        <v>936</v>
      </c>
      <c r="C303" s="1" t="n">
        <v>19</v>
      </c>
      <c r="E303" s="1" t="s">
        <v>1060</v>
      </c>
      <c r="J303" s="1" t="s">
        <v>1060</v>
      </c>
      <c r="K303" s="1" t="n">
        <f aca="false">IF(Search!$D$5="",0,IF(AND(OR(Search!$N$5="",ISNUMBER(SEARCH(Search!$N$5,J303))),OR(Search!$N$6="",ISNUMBER(SEARCH(Search!$N$6,J303))),OR(Search!$N$7="",ISNUMBER(SEARCH(Search!$N$7,J303))),OR(Search!$N$8="",ISNUMBER(SEARCH(Search!$N$8,J303)))),1,0))</f>
        <v>0</v>
      </c>
      <c r="L303" s="1" t="n">
        <f aca="false">L302+K303</f>
        <v>0</v>
      </c>
    </row>
    <row r="304" customFormat="false" ht="15" hidden="false" customHeight="true" outlineLevel="0" collapsed="false">
      <c r="A304" s="1" t="s">
        <v>258</v>
      </c>
      <c r="B304" s="1" t="s">
        <v>936</v>
      </c>
      <c r="C304" s="1" t="n">
        <v>20</v>
      </c>
      <c r="E304" s="1" t="s">
        <v>1061</v>
      </c>
      <c r="H304" s="1" t="s">
        <v>1048</v>
      </c>
      <c r="I304" s="1" t="s">
        <v>1048</v>
      </c>
      <c r="J304" s="1" t="s">
        <v>1062</v>
      </c>
      <c r="K304" s="1" t="n">
        <f aca="false">IF(Search!$D$5="",0,IF(AND(OR(Search!$N$5="",ISNUMBER(SEARCH(Search!$N$5,J304))),OR(Search!$N$6="",ISNUMBER(SEARCH(Search!$N$6,J304))),OR(Search!$N$7="",ISNUMBER(SEARCH(Search!$N$7,J304))),OR(Search!$N$8="",ISNUMBER(SEARCH(Search!$N$8,J304)))),1,0))</f>
        <v>0</v>
      </c>
      <c r="L304" s="1" t="n">
        <f aca="false">L303+K304</f>
        <v>0</v>
      </c>
    </row>
    <row r="305" customFormat="false" ht="15" hidden="false" customHeight="true" outlineLevel="0" collapsed="false">
      <c r="A305" s="1" t="s">
        <v>258</v>
      </c>
      <c r="B305" s="1" t="s">
        <v>936</v>
      </c>
      <c r="C305" s="1" t="n">
        <v>21</v>
      </c>
      <c r="E305" s="1" t="s">
        <v>1063</v>
      </c>
      <c r="H305" s="1" t="s">
        <v>1048</v>
      </c>
      <c r="I305" s="1" t="s">
        <v>1048</v>
      </c>
      <c r="J305" s="1" t="s">
        <v>1064</v>
      </c>
      <c r="K305" s="1" t="n">
        <f aca="false">IF(Search!$D$5="",0,IF(AND(OR(Search!$N$5="",ISNUMBER(SEARCH(Search!$N$5,J305))),OR(Search!$N$6="",ISNUMBER(SEARCH(Search!$N$6,J305))),OR(Search!$N$7="",ISNUMBER(SEARCH(Search!$N$7,J305))),OR(Search!$N$8="",ISNUMBER(SEARCH(Search!$N$8,J305)))),1,0))</f>
        <v>0</v>
      </c>
      <c r="L305" s="1" t="n">
        <f aca="false">L304+K305</f>
        <v>0</v>
      </c>
    </row>
    <row r="306" customFormat="false" ht="15" hidden="false" customHeight="true" outlineLevel="0" collapsed="false">
      <c r="A306" s="1" t="s">
        <v>258</v>
      </c>
      <c r="B306" s="1" t="s">
        <v>936</v>
      </c>
      <c r="C306" s="1" t="n">
        <v>22</v>
      </c>
      <c r="E306" s="1" t="s">
        <v>1065</v>
      </c>
      <c r="H306" s="1" t="s">
        <v>1048</v>
      </c>
      <c r="I306" s="1" t="s">
        <v>1048</v>
      </c>
      <c r="J306" s="1" t="s">
        <v>1066</v>
      </c>
      <c r="K306" s="1" t="n">
        <f aca="false">IF(Search!$D$5="",0,IF(AND(OR(Search!$N$5="",ISNUMBER(SEARCH(Search!$N$5,J306))),OR(Search!$N$6="",ISNUMBER(SEARCH(Search!$N$6,J306))),OR(Search!$N$7="",ISNUMBER(SEARCH(Search!$N$7,J306))),OR(Search!$N$8="",ISNUMBER(SEARCH(Search!$N$8,J306)))),1,0))</f>
        <v>0</v>
      </c>
      <c r="L306" s="1" t="n">
        <f aca="false">L305+K306</f>
        <v>0</v>
      </c>
    </row>
    <row r="307" customFormat="false" ht="15" hidden="false" customHeight="true" outlineLevel="0" collapsed="false">
      <c r="A307" s="1" t="s">
        <v>258</v>
      </c>
      <c r="B307" s="1" t="s">
        <v>936</v>
      </c>
      <c r="C307" s="1" t="n">
        <v>23</v>
      </c>
      <c r="E307" s="1" t="s">
        <v>1067</v>
      </c>
      <c r="H307" s="1" t="s">
        <v>1048</v>
      </c>
      <c r="I307" s="1" t="s">
        <v>1048</v>
      </c>
      <c r="J307" s="1" t="s">
        <v>1068</v>
      </c>
      <c r="K307" s="1" t="n">
        <f aca="false">IF(Search!$D$5="",0,IF(AND(OR(Search!$N$5="",ISNUMBER(SEARCH(Search!$N$5,J307))),OR(Search!$N$6="",ISNUMBER(SEARCH(Search!$N$6,J307))),OR(Search!$N$7="",ISNUMBER(SEARCH(Search!$N$7,J307))),OR(Search!$N$8="",ISNUMBER(SEARCH(Search!$N$8,J307)))),1,0))</f>
        <v>0</v>
      </c>
      <c r="L307" s="1" t="n">
        <f aca="false">L306+K307</f>
        <v>0</v>
      </c>
    </row>
    <row r="308" customFormat="false" ht="15" hidden="false" customHeight="true" outlineLevel="0" collapsed="false">
      <c r="A308" s="1" t="s">
        <v>258</v>
      </c>
      <c r="B308" s="1" t="s">
        <v>936</v>
      </c>
      <c r="C308" s="1" t="n">
        <v>24</v>
      </c>
      <c r="E308" s="1" t="s">
        <v>1069</v>
      </c>
      <c r="H308" s="1" t="s">
        <v>1048</v>
      </c>
      <c r="I308" s="1" t="s">
        <v>1048</v>
      </c>
      <c r="J308" s="1" t="s">
        <v>1070</v>
      </c>
      <c r="K308" s="1" t="n">
        <f aca="false">IF(Search!$D$5="",0,IF(AND(OR(Search!$N$5="",ISNUMBER(SEARCH(Search!$N$5,J308))),OR(Search!$N$6="",ISNUMBER(SEARCH(Search!$N$6,J308))),OR(Search!$N$7="",ISNUMBER(SEARCH(Search!$N$7,J308))),OR(Search!$N$8="",ISNUMBER(SEARCH(Search!$N$8,J308)))),1,0))</f>
        <v>0</v>
      </c>
      <c r="L308" s="1" t="n">
        <f aca="false">L307+K308</f>
        <v>0</v>
      </c>
    </row>
    <row r="309" customFormat="false" ht="15" hidden="false" customHeight="true" outlineLevel="0" collapsed="false">
      <c r="A309" s="1" t="s">
        <v>258</v>
      </c>
      <c r="B309" s="1" t="s">
        <v>936</v>
      </c>
      <c r="C309" s="1" t="n">
        <v>25</v>
      </c>
      <c r="E309" s="1" t="s">
        <v>1071</v>
      </c>
      <c r="H309" s="1" t="s">
        <v>1048</v>
      </c>
      <c r="I309" s="1" t="s">
        <v>1048</v>
      </c>
      <c r="J309" s="1" t="s">
        <v>1072</v>
      </c>
      <c r="K309" s="1" t="n">
        <f aca="false">IF(Search!$D$5="",0,IF(AND(OR(Search!$N$5="",ISNUMBER(SEARCH(Search!$N$5,J309))),OR(Search!$N$6="",ISNUMBER(SEARCH(Search!$N$6,J309))),OR(Search!$N$7="",ISNUMBER(SEARCH(Search!$N$7,J309))),OR(Search!$N$8="",ISNUMBER(SEARCH(Search!$N$8,J309)))),1,0))</f>
        <v>0</v>
      </c>
      <c r="L309" s="1" t="n">
        <f aca="false">L308+K309</f>
        <v>0</v>
      </c>
    </row>
    <row r="310" customFormat="false" ht="15" hidden="false" customHeight="true" outlineLevel="0" collapsed="false">
      <c r="A310" s="1" t="s">
        <v>258</v>
      </c>
      <c r="B310" s="1" t="s">
        <v>936</v>
      </c>
      <c r="C310" s="1" t="n">
        <v>26</v>
      </c>
      <c r="E310" s="1" t="s">
        <v>1073</v>
      </c>
      <c r="H310" s="1" t="s">
        <v>1048</v>
      </c>
      <c r="I310" s="1" t="s">
        <v>1048</v>
      </c>
      <c r="J310" s="1" t="s">
        <v>1074</v>
      </c>
      <c r="K310" s="1" t="n">
        <f aca="false">IF(Search!$D$5="",0,IF(AND(OR(Search!$N$5="",ISNUMBER(SEARCH(Search!$N$5,J310))),OR(Search!$N$6="",ISNUMBER(SEARCH(Search!$N$6,J310))),OR(Search!$N$7="",ISNUMBER(SEARCH(Search!$N$7,J310))),OR(Search!$N$8="",ISNUMBER(SEARCH(Search!$N$8,J310)))),1,0))</f>
        <v>0</v>
      </c>
      <c r="L310" s="1" t="n">
        <f aca="false">L309+K310</f>
        <v>0</v>
      </c>
    </row>
    <row r="311" customFormat="false" ht="15" hidden="false" customHeight="true" outlineLevel="0" collapsed="false">
      <c r="A311" s="1" t="s">
        <v>258</v>
      </c>
      <c r="B311" s="1" t="s">
        <v>936</v>
      </c>
      <c r="C311" s="1" t="n">
        <v>27</v>
      </c>
      <c r="E311" s="1" t="s">
        <v>1075</v>
      </c>
      <c r="H311" s="1" t="s">
        <v>1048</v>
      </c>
      <c r="I311" s="1" t="s">
        <v>1048</v>
      </c>
      <c r="J311" s="1" t="s">
        <v>1076</v>
      </c>
      <c r="K311" s="1" t="n">
        <f aca="false">IF(Search!$D$5="",0,IF(AND(OR(Search!$N$5="",ISNUMBER(SEARCH(Search!$N$5,J311))),OR(Search!$N$6="",ISNUMBER(SEARCH(Search!$N$6,J311))),OR(Search!$N$7="",ISNUMBER(SEARCH(Search!$N$7,J311))),OR(Search!$N$8="",ISNUMBER(SEARCH(Search!$N$8,J311)))),1,0))</f>
        <v>0</v>
      </c>
      <c r="L311" s="1" t="n">
        <f aca="false">L310+K311</f>
        <v>0</v>
      </c>
    </row>
    <row r="312" customFormat="false" ht="15" hidden="false" customHeight="true" outlineLevel="0" collapsed="false">
      <c r="A312" s="1" t="s">
        <v>258</v>
      </c>
      <c r="B312" s="1" t="s">
        <v>936</v>
      </c>
      <c r="C312" s="1" t="n">
        <v>28</v>
      </c>
      <c r="E312" s="1" t="s">
        <v>1077</v>
      </c>
      <c r="J312" s="1" t="s">
        <v>1077</v>
      </c>
      <c r="K312" s="1" t="n">
        <f aca="false">IF(Search!$D$5="",0,IF(AND(OR(Search!$N$5="",ISNUMBER(SEARCH(Search!$N$5,J312))),OR(Search!$N$6="",ISNUMBER(SEARCH(Search!$N$6,J312))),OR(Search!$N$7="",ISNUMBER(SEARCH(Search!$N$7,J312))),OR(Search!$N$8="",ISNUMBER(SEARCH(Search!$N$8,J312)))),1,0))</f>
        <v>0</v>
      </c>
      <c r="L312" s="1" t="n">
        <f aca="false">L311+K312</f>
        <v>0</v>
      </c>
    </row>
    <row r="313" customFormat="false" ht="15" hidden="false" customHeight="true" outlineLevel="0" collapsed="false">
      <c r="A313" s="1" t="s">
        <v>258</v>
      </c>
      <c r="B313" s="1" t="s">
        <v>936</v>
      </c>
      <c r="C313" s="1" t="n">
        <v>29</v>
      </c>
      <c r="E313" s="1" t="s">
        <v>1078</v>
      </c>
      <c r="J313" s="1" t="s">
        <v>1078</v>
      </c>
      <c r="K313" s="1" t="n">
        <f aca="false">IF(Search!$D$5="",0,IF(AND(OR(Search!$N$5="",ISNUMBER(SEARCH(Search!$N$5,J313))),OR(Search!$N$6="",ISNUMBER(SEARCH(Search!$N$6,J313))),OR(Search!$N$7="",ISNUMBER(SEARCH(Search!$N$7,J313))),OR(Search!$N$8="",ISNUMBER(SEARCH(Search!$N$8,J313)))),1,0))</f>
        <v>0</v>
      </c>
      <c r="L313" s="1" t="n">
        <f aca="false">L312+K313</f>
        <v>0</v>
      </c>
    </row>
    <row r="314" customFormat="false" ht="15" hidden="false" customHeight="true" outlineLevel="0" collapsed="false">
      <c r="A314" s="1" t="s">
        <v>258</v>
      </c>
      <c r="B314" s="1" t="s">
        <v>936</v>
      </c>
      <c r="C314" s="1" t="n">
        <v>30</v>
      </c>
      <c r="E314" s="1" t="s">
        <v>1079</v>
      </c>
      <c r="J314" s="1" t="s">
        <v>1079</v>
      </c>
      <c r="K314" s="1" t="n">
        <f aca="false">IF(Search!$D$5="",0,IF(AND(OR(Search!$N$5="",ISNUMBER(SEARCH(Search!$N$5,J314))),OR(Search!$N$6="",ISNUMBER(SEARCH(Search!$N$6,J314))),OR(Search!$N$7="",ISNUMBER(SEARCH(Search!$N$7,J314))),OR(Search!$N$8="",ISNUMBER(SEARCH(Search!$N$8,J314)))),1,0))</f>
        <v>0</v>
      </c>
      <c r="L314" s="1" t="n">
        <f aca="false">L313+K314</f>
        <v>0</v>
      </c>
    </row>
    <row r="315" customFormat="false" ht="15" hidden="false" customHeight="true" outlineLevel="0" collapsed="false">
      <c r="A315" s="1" t="s">
        <v>258</v>
      </c>
      <c r="B315" s="1" t="s">
        <v>936</v>
      </c>
      <c r="C315" s="1" t="n">
        <v>31</v>
      </c>
      <c r="E315" s="1" t="s">
        <v>1080</v>
      </c>
      <c r="J315" s="1" t="s">
        <v>1080</v>
      </c>
      <c r="K315" s="1" t="n">
        <f aca="false">IF(Search!$D$5="",0,IF(AND(OR(Search!$N$5="",ISNUMBER(SEARCH(Search!$N$5,J315))),OR(Search!$N$6="",ISNUMBER(SEARCH(Search!$N$6,J315))),OR(Search!$N$7="",ISNUMBER(SEARCH(Search!$N$7,J315))),OR(Search!$N$8="",ISNUMBER(SEARCH(Search!$N$8,J315)))),1,0))</f>
        <v>0</v>
      </c>
      <c r="L315" s="1" t="n">
        <f aca="false">L314+K315</f>
        <v>0</v>
      </c>
    </row>
    <row r="316" customFormat="false" ht="15" hidden="false" customHeight="true" outlineLevel="0" collapsed="false">
      <c r="A316" s="1" t="s">
        <v>258</v>
      </c>
      <c r="B316" s="1" t="s">
        <v>936</v>
      </c>
      <c r="C316" s="1" t="n">
        <v>32</v>
      </c>
      <c r="E316" s="1" t="s">
        <v>1081</v>
      </c>
      <c r="J316" s="1" t="s">
        <v>1081</v>
      </c>
      <c r="K316" s="1" t="n">
        <f aca="false">IF(Search!$D$5="",0,IF(AND(OR(Search!$N$5="",ISNUMBER(SEARCH(Search!$N$5,J316))),OR(Search!$N$6="",ISNUMBER(SEARCH(Search!$N$6,J316))),OR(Search!$N$7="",ISNUMBER(SEARCH(Search!$N$7,J316))),OR(Search!$N$8="",ISNUMBER(SEARCH(Search!$N$8,J316)))),1,0))</f>
        <v>0</v>
      </c>
      <c r="L316" s="1" t="n">
        <f aca="false">L315+K316</f>
        <v>0</v>
      </c>
    </row>
    <row r="317" customFormat="false" ht="15" hidden="false" customHeight="true" outlineLevel="0" collapsed="false">
      <c r="A317" s="1" t="s">
        <v>258</v>
      </c>
      <c r="B317" s="1" t="s">
        <v>936</v>
      </c>
      <c r="C317" s="1" t="n">
        <v>34</v>
      </c>
      <c r="E317" s="1" t="s">
        <v>1082</v>
      </c>
      <c r="J317" s="1" t="s">
        <v>1082</v>
      </c>
      <c r="K317" s="1" t="n">
        <f aca="false">IF(Search!$D$5="",0,IF(AND(OR(Search!$N$5="",ISNUMBER(SEARCH(Search!$N$5,J317))),OR(Search!$N$6="",ISNUMBER(SEARCH(Search!$N$6,J317))),OR(Search!$N$7="",ISNUMBER(SEARCH(Search!$N$7,J317))),OR(Search!$N$8="",ISNUMBER(SEARCH(Search!$N$8,J317)))),1,0))</f>
        <v>0</v>
      </c>
      <c r="L317" s="1" t="n">
        <f aca="false">L316+K317</f>
        <v>0</v>
      </c>
    </row>
    <row r="318" customFormat="false" ht="15" hidden="false" customHeight="true" outlineLevel="0" collapsed="false">
      <c r="A318" s="1" t="s">
        <v>258</v>
      </c>
      <c r="B318" s="1" t="s">
        <v>936</v>
      </c>
      <c r="C318" s="1" t="n">
        <v>35</v>
      </c>
      <c r="E318" s="1" t="s">
        <v>1025</v>
      </c>
      <c r="J318" s="1" t="s">
        <v>1025</v>
      </c>
      <c r="K318" s="1" t="n">
        <f aca="false">IF(Search!$D$5="",0,IF(AND(OR(Search!$N$5="",ISNUMBER(SEARCH(Search!$N$5,J318))),OR(Search!$N$6="",ISNUMBER(SEARCH(Search!$N$6,J318))),OR(Search!$N$7="",ISNUMBER(SEARCH(Search!$N$7,J318))),OR(Search!$N$8="",ISNUMBER(SEARCH(Search!$N$8,J318)))),1,0))</f>
        <v>0</v>
      </c>
      <c r="L318" s="1" t="n">
        <f aca="false">L317+K318</f>
        <v>0</v>
      </c>
    </row>
    <row r="319" customFormat="false" ht="15" hidden="false" customHeight="true" outlineLevel="0" collapsed="false">
      <c r="A319" s="1" t="s">
        <v>261</v>
      </c>
      <c r="B319" s="1" t="s">
        <v>936</v>
      </c>
      <c r="C319" s="1" t="n">
        <v>2</v>
      </c>
      <c r="E319" s="1" t="s">
        <v>1083</v>
      </c>
      <c r="J319" s="1" t="s">
        <v>1083</v>
      </c>
      <c r="K319" s="1" t="n">
        <f aca="false">IF(Search!$D$5="",0,IF(AND(OR(Search!$N$5="",ISNUMBER(SEARCH(Search!$N$5,J319))),OR(Search!$N$6="",ISNUMBER(SEARCH(Search!$N$6,J319))),OR(Search!$N$7="",ISNUMBER(SEARCH(Search!$N$7,J319))),OR(Search!$N$8="",ISNUMBER(SEARCH(Search!$N$8,J319)))),1,0))</f>
        <v>0</v>
      </c>
      <c r="L319" s="1" t="n">
        <f aca="false">L318+K319</f>
        <v>0</v>
      </c>
    </row>
    <row r="320" customFormat="false" ht="15" hidden="false" customHeight="true" outlineLevel="0" collapsed="false">
      <c r="A320" s="1" t="s">
        <v>261</v>
      </c>
      <c r="B320" s="1" t="s">
        <v>936</v>
      </c>
      <c r="C320" s="1" t="n">
        <v>3</v>
      </c>
      <c r="E320" s="1" t="s">
        <v>1084</v>
      </c>
      <c r="J320" s="1" t="s">
        <v>1084</v>
      </c>
      <c r="K320" s="1" t="n">
        <f aca="false">IF(Search!$D$5="",0,IF(AND(OR(Search!$N$5="",ISNUMBER(SEARCH(Search!$N$5,J320))),OR(Search!$N$6="",ISNUMBER(SEARCH(Search!$N$6,J320))),OR(Search!$N$7="",ISNUMBER(SEARCH(Search!$N$7,J320))),OR(Search!$N$8="",ISNUMBER(SEARCH(Search!$N$8,J320)))),1,0))</f>
        <v>0</v>
      </c>
      <c r="L320" s="1" t="n">
        <f aca="false">L319+K320</f>
        <v>0</v>
      </c>
    </row>
    <row r="321" customFormat="false" ht="15" hidden="false" customHeight="true" outlineLevel="0" collapsed="false">
      <c r="A321" s="1" t="s">
        <v>261</v>
      </c>
      <c r="B321" s="1" t="s">
        <v>936</v>
      </c>
      <c r="C321" s="1" t="n">
        <v>5</v>
      </c>
      <c r="E321" s="1" t="s">
        <v>1028</v>
      </c>
      <c r="F321" s="1" t="s">
        <v>1029</v>
      </c>
      <c r="J321" s="1" t="s">
        <v>1030</v>
      </c>
      <c r="K321" s="1" t="n">
        <f aca="false">IF(Search!$D$5="",0,IF(AND(OR(Search!$N$5="",ISNUMBER(SEARCH(Search!$N$5,J321))),OR(Search!$N$6="",ISNUMBER(SEARCH(Search!$N$6,J321))),OR(Search!$N$7="",ISNUMBER(SEARCH(Search!$N$7,J321))),OR(Search!$N$8="",ISNUMBER(SEARCH(Search!$N$8,J321)))),1,0))</f>
        <v>0</v>
      </c>
      <c r="L321" s="1" t="n">
        <f aca="false">L320+K321</f>
        <v>0</v>
      </c>
    </row>
    <row r="322" customFormat="false" ht="15" hidden="false" customHeight="true" outlineLevel="0" collapsed="false">
      <c r="A322" s="1" t="s">
        <v>261</v>
      </c>
      <c r="B322" s="1" t="s">
        <v>936</v>
      </c>
      <c r="C322" s="1" t="n">
        <v>6</v>
      </c>
      <c r="E322" s="1" t="s">
        <v>632</v>
      </c>
      <c r="F322" s="1" t="s">
        <v>1031</v>
      </c>
      <c r="J322" s="1" t="s">
        <v>1032</v>
      </c>
      <c r="K322" s="1" t="n">
        <f aca="false">IF(Search!$D$5="",0,IF(AND(OR(Search!$N$5="",ISNUMBER(SEARCH(Search!$N$5,J322))),OR(Search!$N$6="",ISNUMBER(SEARCH(Search!$N$6,J322))),OR(Search!$N$7="",ISNUMBER(SEARCH(Search!$N$7,J322))),OR(Search!$N$8="",ISNUMBER(SEARCH(Search!$N$8,J322)))),1,0))</f>
        <v>0</v>
      </c>
      <c r="L322" s="1" t="n">
        <f aca="false">L321+K322</f>
        <v>0</v>
      </c>
    </row>
    <row r="323" customFormat="false" ht="15" hidden="false" customHeight="true" outlineLevel="0" collapsed="false">
      <c r="A323" s="1" t="s">
        <v>261</v>
      </c>
      <c r="B323" s="1" t="s">
        <v>936</v>
      </c>
      <c r="C323" s="1" t="n">
        <v>7</v>
      </c>
      <c r="E323" s="1" t="s">
        <v>1033</v>
      </c>
      <c r="F323" s="1" t="s">
        <v>1034</v>
      </c>
      <c r="J323" s="1" t="s">
        <v>1035</v>
      </c>
      <c r="K323" s="1" t="n">
        <f aca="false">IF(Search!$D$5="",0,IF(AND(OR(Search!$N$5="",ISNUMBER(SEARCH(Search!$N$5,J323))),OR(Search!$N$6="",ISNUMBER(SEARCH(Search!$N$6,J323))),OR(Search!$N$7="",ISNUMBER(SEARCH(Search!$N$7,J323))),OR(Search!$N$8="",ISNUMBER(SEARCH(Search!$N$8,J323)))),1,0))</f>
        <v>0</v>
      </c>
      <c r="L323" s="1" t="n">
        <f aca="false">L322+K323</f>
        <v>0</v>
      </c>
    </row>
    <row r="324" customFormat="false" ht="15" hidden="false" customHeight="true" outlineLevel="0" collapsed="false">
      <c r="A324" s="1" t="s">
        <v>261</v>
      </c>
      <c r="B324" s="1" t="s">
        <v>936</v>
      </c>
      <c r="C324" s="1" t="n">
        <v>8</v>
      </c>
      <c r="E324" s="1" t="s">
        <v>1036</v>
      </c>
      <c r="F324" s="1" t="s">
        <v>1037</v>
      </c>
      <c r="J324" s="1" t="s">
        <v>1038</v>
      </c>
      <c r="K324" s="1" t="n">
        <f aca="false">IF(Search!$D$5="",0,IF(AND(OR(Search!$N$5="",ISNUMBER(SEARCH(Search!$N$5,J324))),OR(Search!$N$6="",ISNUMBER(SEARCH(Search!$N$6,J324))),OR(Search!$N$7="",ISNUMBER(SEARCH(Search!$N$7,J324))),OR(Search!$N$8="",ISNUMBER(SEARCH(Search!$N$8,J324)))),1,0))</f>
        <v>0</v>
      </c>
      <c r="L324" s="1" t="n">
        <f aca="false">L323+K324</f>
        <v>0</v>
      </c>
    </row>
    <row r="325" customFormat="false" ht="15" hidden="false" customHeight="true" outlineLevel="0" collapsed="false">
      <c r="A325" s="1" t="s">
        <v>261</v>
      </c>
      <c r="B325" s="1" t="s">
        <v>936</v>
      </c>
      <c r="C325" s="1" t="n">
        <v>10</v>
      </c>
      <c r="E325" s="1" t="s">
        <v>1085</v>
      </c>
      <c r="J325" s="1" t="s">
        <v>1085</v>
      </c>
      <c r="K325" s="1" t="n">
        <f aca="false">IF(Search!$D$5="",0,IF(AND(OR(Search!$N$5="",ISNUMBER(SEARCH(Search!$N$5,J325))),OR(Search!$N$6="",ISNUMBER(SEARCH(Search!$N$6,J325))),OR(Search!$N$7="",ISNUMBER(SEARCH(Search!$N$7,J325))),OR(Search!$N$8="",ISNUMBER(SEARCH(Search!$N$8,J325)))),1,0))</f>
        <v>0</v>
      </c>
      <c r="L325" s="1" t="n">
        <f aca="false">L324+K325</f>
        <v>0</v>
      </c>
    </row>
    <row r="326" customFormat="false" ht="15" hidden="false" customHeight="true" outlineLevel="0" collapsed="false">
      <c r="A326" s="1" t="s">
        <v>261</v>
      </c>
      <c r="B326" s="1" t="s">
        <v>936</v>
      </c>
      <c r="C326" s="1" t="n">
        <v>11</v>
      </c>
      <c r="F326" s="1" t="s">
        <v>1040</v>
      </c>
      <c r="J326" s="1" t="s">
        <v>1040</v>
      </c>
      <c r="K326" s="1" t="n">
        <f aca="false">IF(Search!$D$5="",0,IF(AND(OR(Search!$N$5="",ISNUMBER(SEARCH(Search!$N$5,J326))),OR(Search!$N$6="",ISNUMBER(SEARCH(Search!$N$6,J326))),OR(Search!$N$7="",ISNUMBER(SEARCH(Search!$N$7,J326))),OR(Search!$N$8="",ISNUMBER(SEARCH(Search!$N$8,J326)))),1,0))</f>
        <v>0</v>
      </c>
      <c r="L326" s="1" t="n">
        <f aca="false">L325+K326</f>
        <v>0</v>
      </c>
    </row>
    <row r="327" customFormat="false" ht="27.75" hidden="false" customHeight="true" outlineLevel="0" collapsed="false">
      <c r="A327" s="1" t="s">
        <v>261</v>
      </c>
      <c r="B327" s="1" t="s">
        <v>936</v>
      </c>
      <c r="C327" s="1" t="n">
        <v>12</v>
      </c>
      <c r="E327" s="46" t="s">
        <v>1086</v>
      </c>
      <c r="F327" s="1" t="s">
        <v>1042</v>
      </c>
      <c r="G327" s="1" t="s">
        <v>1043</v>
      </c>
      <c r="H327" s="1" t="s">
        <v>1044</v>
      </c>
      <c r="I327" s="1" t="s">
        <v>1045</v>
      </c>
      <c r="J327" s="46" t="s">
        <v>1087</v>
      </c>
      <c r="K327" s="1" t="n">
        <f aca="false">IF(Search!$D$5="",0,IF(AND(OR(Search!$N$5="",ISNUMBER(SEARCH(Search!$N$5,J327))),OR(Search!$N$6="",ISNUMBER(SEARCH(Search!$N$6,J327))),OR(Search!$N$7="",ISNUMBER(SEARCH(Search!$N$7,J327))),OR(Search!$N$8="",ISNUMBER(SEARCH(Search!$N$8,J327)))),1,0))</f>
        <v>0</v>
      </c>
      <c r="L327" s="1" t="n">
        <f aca="false">L326+K327</f>
        <v>0</v>
      </c>
    </row>
    <row r="328" customFormat="false" ht="15" hidden="false" customHeight="true" outlineLevel="0" collapsed="false">
      <c r="A328" s="1" t="s">
        <v>261</v>
      </c>
      <c r="B328" s="1" t="s">
        <v>936</v>
      </c>
      <c r="C328" s="1" t="n">
        <v>13</v>
      </c>
      <c r="E328" s="1" t="s">
        <v>1088</v>
      </c>
      <c r="J328" s="1" t="s">
        <v>1088</v>
      </c>
      <c r="K328" s="1" t="n">
        <f aca="false">IF(Search!$D$5="",0,IF(AND(OR(Search!$N$5="",ISNUMBER(SEARCH(Search!$N$5,J328))),OR(Search!$N$6="",ISNUMBER(SEARCH(Search!$N$6,J328))),OR(Search!$N$7="",ISNUMBER(SEARCH(Search!$N$7,J328))),OR(Search!$N$8="",ISNUMBER(SEARCH(Search!$N$8,J328)))),1,0))</f>
        <v>0</v>
      </c>
      <c r="L328" s="1" t="n">
        <f aca="false">L327+K328</f>
        <v>0</v>
      </c>
    </row>
    <row r="329" customFormat="false" ht="15" hidden="false" customHeight="true" outlineLevel="0" collapsed="false">
      <c r="A329" s="1" t="s">
        <v>261</v>
      </c>
      <c r="B329" s="1" t="s">
        <v>936</v>
      </c>
      <c r="C329" s="1" t="n">
        <v>14</v>
      </c>
      <c r="E329" s="1" t="s">
        <v>1089</v>
      </c>
      <c r="J329" s="1" t="s">
        <v>1089</v>
      </c>
      <c r="K329" s="1" t="n">
        <f aca="false">IF(Search!$D$5="",0,IF(AND(OR(Search!$N$5="",ISNUMBER(SEARCH(Search!$N$5,J329))),OR(Search!$N$6="",ISNUMBER(SEARCH(Search!$N$6,J329))),OR(Search!$N$7="",ISNUMBER(SEARCH(Search!$N$7,J329))),OR(Search!$N$8="",ISNUMBER(SEARCH(Search!$N$8,J329)))),1,0))</f>
        <v>0</v>
      </c>
      <c r="L329" s="1" t="n">
        <f aca="false">L328+K329</f>
        <v>0</v>
      </c>
    </row>
    <row r="330" customFormat="false" ht="15" hidden="false" customHeight="true" outlineLevel="0" collapsed="false">
      <c r="A330" s="1" t="s">
        <v>261</v>
      </c>
      <c r="B330" s="1" t="s">
        <v>936</v>
      </c>
      <c r="C330" s="1" t="n">
        <v>15</v>
      </c>
      <c r="E330" s="1" t="s">
        <v>1090</v>
      </c>
      <c r="F330" s="1" t="s">
        <v>1048</v>
      </c>
      <c r="G330" s="1" t="s">
        <v>1048</v>
      </c>
      <c r="H330" s="1" t="s">
        <v>1048</v>
      </c>
      <c r="I330" s="1" t="s">
        <v>1048</v>
      </c>
      <c r="J330" s="1" t="s">
        <v>1091</v>
      </c>
      <c r="K330" s="1" t="n">
        <f aca="false">IF(Search!$D$5="",0,IF(AND(OR(Search!$N$5="",ISNUMBER(SEARCH(Search!$N$5,J330))),OR(Search!$N$6="",ISNUMBER(SEARCH(Search!$N$6,J330))),OR(Search!$N$7="",ISNUMBER(SEARCH(Search!$N$7,J330))),OR(Search!$N$8="",ISNUMBER(SEARCH(Search!$N$8,J330)))),1,0))</f>
        <v>0</v>
      </c>
      <c r="L330" s="1" t="n">
        <f aca="false">L329+K330</f>
        <v>0</v>
      </c>
    </row>
    <row r="331" customFormat="false" ht="15" hidden="false" customHeight="true" outlineLevel="0" collapsed="false">
      <c r="A331" s="1" t="s">
        <v>261</v>
      </c>
      <c r="B331" s="1" t="s">
        <v>936</v>
      </c>
      <c r="C331" s="1" t="n">
        <v>16</v>
      </c>
      <c r="E331" s="1" t="s">
        <v>1092</v>
      </c>
      <c r="J331" s="1" t="s">
        <v>1092</v>
      </c>
      <c r="K331" s="1" t="n">
        <f aca="false">IF(Search!$D$5="",0,IF(AND(OR(Search!$N$5="",ISNUMBER(SEARCH(Search!$N$5,J331))),OR(Search!$N$6="",ISNUMBER(SEARCH(Search!$N$6,J331))),OR(Search!$N$7="",ISNUMBER(SEARCH(Search!$N$7,J331))),OR(Search!$N$8="",ISNUMBER(SEARCH(Search!$N$8,J331)))),1,0))</f>
        <v>0</v>
      </c>
      <c r="L331" s="1" t="n">
        <f aca="false">L330+K331</f>
        <v>0</v>
      </c>
    </row>
    <row r="332" customFormat="false" ht="15" hidden="false" customHeight="true" outlineLevel="0" collapsed="false">
      <c r="A332" s="1" t="s">
        <v>261</v>
      </c>
      <c r="B332" s="1" t="s">
        <v>936</v>
      </c>
      <c r="C332" s="1" t="n">
        <v>17</v>
      </c>
      <c r="E332" s="1" t="s">
        <v>1093</v>
      </c>
      <c r="J332" s="1" t="s">
        <v>1093</v>
      </c>
      <c r="K332" s="1" t="n">
        <f aca="false">IF(Search!$D$5="",0,IF(AND(OR(Search!$N$5="",ISNUMBER(SEARCH(Search!$N$5,J332))),OR(Search!$N$6="",ISNUMBER(SEARCH(Search!$N$6,J332))),OR(Search!$N$7="",ISNUMBER(SEARCH(Search!$N$7,J332))),OR(Search!$N$8="",ISNUMBER(SEARCH(Search!$N$8,J332)))),1,0))</f>
        <v>0</v>
      </c>
      <c r="L332" s="1" t="n">
        <f aca="false">L331+K332</f>
        <v>0</v>
      </c>
    </row>
    <row r="333" customFormat="false" ht="15" hidden="false" customHeight="true" outlineLevel="0" collapsed="false">
      <c r="A333" s="1" t="s">
        <v>261</v>
      </c>
      <c r="B333" s="1" t="s">
        <v>936</v>
      </c>
      <c r="C333" s="1" t="n">
        <v>18</v>
      </c>
      <c r="E333" s="1" t="s">
        <v>1094</v>
      </c>
      <c r="J333" s="1" t="s">
        <v>1094</v>
      </c>
      <c r="K333" s="1" t="n">
        <f aca="false">IF(Search!$D$5="",0,IF(AND(OR(Search!$N$5="",ISNUMBER(SEARCH(Search!$N$5,J333))),OR(Search!$N$6="",ISNUMBER(SEARCH(Search!$N$6,J333))),OR(Search!$N$7="",ISNUMBER(SEARCH(Search!$N$7,J333))),OR(Search!$N$8="",ISNUMBER(SEARCH(Search!$N$8,J333)))),1,0))</f>
        <v>0</v>
      </c>
      <c r="L333" s="1" t="n">
        <f aca="false">L332+K333</f>
        <v>0</v>
      </c>
    </row>
    <row r="334" customFormat="false" ht="15" hidden="false" customHeight="true" outlineLevel="0" collapsed="false">
      <c r="A334" s="1" t="s">
        <v>261</v>
      </c>
      <c r="B334" s="1" t="s">
        <v>936</v>
      </c>
      <c r="C334" s="1" t="n">
        <v>19</v>
      </c>
      <c r="E334" s="1" t="s">
        <v>1095</v>
      </c>
      <c r="J334" s="1" t="s">
        <v>1095</v>
      </c>
      <c r="K334" s="1" t="n">
        <f aca="false">IF(Search!$D$5="",0,IF(AND(OR(Search!$N$5="",ISNUMBER(SEARCH(Search!$N$5,J334))),OR(Search!$N$6="",ISNUMBER(SEARCH(Search!$N$6,J334))),OR(Search!$N$7="",ISNUMBER(SEARCH(Search!$N$7,J334))),OR(Search!$N$8="",ISNUMBER(SEARCH(Search!$N$8,J334)))),1,0))</f>
        <v>0</v>
      </c>
      <c r="L334" s="1" t="n">
        <f aca="false">L333+K334</f>
        <v>0</v>
      </c>
    </row>
    <row r="335" customFormat="false" ht="15" hidden="false" customHeight="true" outlineLevel="0" collapsed="false">
      <c r="A335" s="1" t="s">
        <v>261</v>
      </c>
      <c r="B335" s="1" t="s">
        <v>936</v>
      </c>
      <c r="C335" s="1" t="n">
        <v>20</v>
      </c>
      <c r="E335" s="1" t="s">
        <v>1096</v>
      </c>
      <c r="J335" s="1" t="s">
        <v>1096</v>
      </c>
      <c r="K335" s="1" t="n">
        <f aca="false">IF(Search!$D$5="",0,IF(AND(OR(Search!$N$5="",ISNUMBER(SEARCH(Search!$N$5,J335))),OR(Search!$N$6="",ISNUMBER(SEARCH(Search!$N$6,J335))),OR(Search!$N$7="",ISNUMBER(SEARCH(Search!$N$7,J335))),OR(Search!$N$8="",ISNUMBER(SEARCH(Search!$N$8,J335)))),1,0))</f>
        <v>0</v>
      </c>
      <c r="L335" s="1" t="n">
        <f aca="false">L334+K335</f>
        <v>0</v>
      </c>
    </row>
    <row r="336" customFormat="false" ht="15" hidden="false" customHeight="true" outlineLevel="0" collapsed="false">
      <c r="A336" s="1" t="s">
        <v>261</v>
      </c>
      <c r="B336" s="1" t="s">
        <v>936</v>
      </c>
      <c r="C336" s="1" t="n">
        <v>21</v>
      </c>
      <c r="E336" s="1" t="s">
        <v>1097</v>
      </c>
      <c r="J336" s="1" t="s">
        <v>1097</v>
      </c>
      <c r="K336" s="1" t="n">
        <f aca="false">IF(Search!$D$5="",0,IF(AND(OR(Search!$N$5="",ISNUMBER(SEARCH(Search!$N$5,J336))),OR(Search!$N$6="",ISNUMBER(SEARCH(Search!$N$6,J336))),OR(Search!$N$7="",ISNUMBER(SEARCH(Search!$N$7,J336))),OR(Search!$N$8="",ISNUMBER(SEARCH(Search!$N$8,J336)))),1,0))</f>
        <v>0</v>
      </c>
      <c r="L336" s="1" t="n">
        <f aca="false">L335+K336</f>
        <v>0</v>
      </c>
    </row>
    <row r="337" customFormat="false" ht="15" hidden="false" customHeight="true" outlineLevel="0" collapsed="false">
      <c r="A337" s="1" t="s">
        <v>261</v>
      </c>
      <c r="B337" s="1" t="s">
        <v>936</v>
      </c>
      <c r="C337" s="1" t="n">
        <v>22</v>
      </c>
      <c r="E337" s="1" t="s">
        <v>1098</v>
      </c>
      <c r="J337" s="1" t="s">
        <v>1098</v>
      </c>
      <c r="K337" s="1" t="n">
        <f aca="false">IF(Search!$D$5="",0,IF(AND(OR(Search!$N$5="",ISNUMBER(SEARCH(Search!$N$5,J337))),OR(Search!$N$6="",ISNUMBER(SEARCH(Search!$N$6,J337))),OR(Search!$N$7="",ISNUMBER(SEARCH(Search!$N$7,J337))),OR(Search!$N$8="",ISNUMBER(SEARCH(Search!$N$8,J337)))),1,0))</f>
        <v>0</v>
      </c>
      <c r="L337" s="1" t="n">
        <f aca="false">L336+K337</f>
        <v>0</v>
      </c>
    </row>
    <row r="338" customFormat="false" ht="15" hidden="false" customHeight="true" outlineLevel="0" collapsed="false">
      <c r="A338" s="1" t="s">
        <v>261</v>
      </c>
      <c r="B338" s="1" t="s">
        <v>936</v>
      </c>
      <c r="C338" s="1" t="n">
        <v>23</v>
      </c>
      <c r="E338" s="1" t="s">
        <v>1099</v>
      </c>
      <c r="J338" s="1" t="s">
        <v>1099</v>
      </c>
      <c r="K338" s="1" t="n">
        <f aca="false">IF(Search!$D$5="",0,IF(AND(OR(Search!$N$5="",ISNUMBER(SEARCH(Search!$N$5,J338))),OR(Search!$N$6="",ISNUMBER(SEARCH(Search!$N$6,J338))),OR(Search!$N$7="",ISNUMBER(SEARCH(Search!$N$7,J338))),OR(Search!$N$8="",ISNUMBER(SEARCH(Search!$N$8,J338)))),1,0))</f>
        <v>0</v>
      </c>
      <c r="L338" s="1" t="n">
        <f aca="false">L337+K338</f>
        <v>0</v>
      </c>
    </row>
    <row r="339" customFormat="false" ht="15" hidden="false" customHeight="true" outlineLevel="0" collapsed="false">
      <c r="A339" s="1" t="s">
        <v>261</v>
      </c>
      <c r="B339" s="1" t="s">
        <v>936</v>
      </c>
      <c r="C339" s="1" t="n">
        <v>24</v>
      </c>
      <c r="E339" s="1" t="s">
        <v>1100</v>
      </c>
      <c r="I339" s="1" t="s">
        <v>1048</v>
      </c>
      <c r="J339" s="1" t="s">
        <v>1101</v>
      </c>
      <c r="K339" s="1" t="n">
        <f aca="false">IF(Search!$D$5="",0,IF(AND(OR(Search!$N$5="",ISNUMBER(SEARCH(Search!$N$5,J339))),OR(Search!$N$6="",ISNUMBER(SEARCH(Search!$N$6,J339))),OR(Search!$N$7="",ISNUMBER(SEARCH(Search!$N$7,J339))),OR(Search!$N$8="",ISNUMBER(SEARCH(Search!$N$8,J339)))),1,0))</f>
        <v>0</v>
      </c>
      <c r="L339" s="1" t="n">
        <f aca="false">L338+K339</f>
        <v>0</v>
      </c>
    </row>
    <row r="340" customFormat="false" ht="15" hidden="false" customHeight="true" outlineLevel="0" collapsed="false">
      <c r="A340" s="1" t="s">
        <v>261</v>
      </c>
      <c r="B340" s="1" t="s">
        <v>936</v>
      </c>
      <c r="C340" s="1" t="n">
        <v>25</v>
      </c>
      <c r="E340" s="1" t="s">
        <v>1102</v>
      </c>
      <c r="H340" s="1" t="s">
        <v>1048</v>
      </c>
      <c r="I340" s="1" t="s">
        <v>1048</v>
      </c>
      <c r="J340" s="1" t="s">
        <v>1103</v>
      </c>
      <c r="K340" s="1" t="n">
        <f aca="false">IF(Search!$D$5="",0,IF(AND(OR(Search!$N$5="",ISNUMBER(SEARCH(Search!$N$5,J340))),OR(Search!$N$6="",ISNUMBER(SEARCH(Search!$N$6,J340))),OR(Search!$N$7="",ISNUMBER(SEARCH(Search!$N$7,J340))),OR(Search!$N$8="",ISNUMBER(SEARCH(Search!$N$8,J340)))),1,0))</f>
        <v>0</v>
      </c>
      <c r="L340" s="1" t="n">
        <f aca="false">L339+K340</f>
        <v>0</v>
      </c>
    </row>
    <row r="341" customFormat="false" ht="15" hidden="false" customHeight="true" outlineLevel="0" collapsed="false">
      <c r="A341" s="1" t="s">
        <v>261</v>
      </c>
      <c r="B341" s="1" t="s">
        <v>936</v>
      </c>
      <c r="C341" s="1" t="n">
        <v>26</v>
      </c>
      <c r="E341" s="1" t="s">
        <v>1104</v>
      </c>
      <c r="I341" s="1" t="s">
        <v>1048</v>
      </c>
      <c r="J341" s="1" t="s">
        <v>1105</v>
      </c>
      <c r="K341" s="1" t="n">
        <f aca="false">IF(Search!$D$5="",0,IF(AND(OR(Search!$N$5="",ISNUMBER(SEARCH(Search!$N$5,J341))),OR(Search!$N$6="",ISNUMBER(SEARCH(Search!$N$6,J341))),OR(Search!$N$7="",ISNUMBER(SEARCH(Search!$N$7,J341))),OR(Search!$N$8="",ISNUMBER(SEARCH(Search!$N$8,J341)))),1,0))</f>
        <v>0</v>
      </c>
      <c r="L341" s="1" t="n">
        <f aca="false">L340+K341</f>
        <v>0</v>
      </c>
    </row>
    <row r="342" customFormat="false" ht="15" hidden="false" customHeight="true" outlineLevel="0" collapsed="false">
      <c r="A342" s="1" t="s">
        <v>261</v>
      </c>
      <c r="B342" s="1" t="s">
        <v>936</v>
      </c>
      <c r="C342" s="1" t="n">
        <v>27</v>
      </c>
      <c r="E342" s="1" t="s">
        <v>1106</v>
      </c>
      <c r="J342" s="1" t="s">
        <v>1106</v>
      </c>
      <c r="K342" s="1" t="n">
        <f aca="false">IF(Search!$D$5="",0,IF(AND(OR(Search!$N$5="",ISNUMBER(SEARCH(Search!$N$5,J342))),OR(Search!$N$6="",ISNUMBER(SEARCH(Search!$N$6,J342))),OR(Search!$N$7="",ISNUMBER(SEARCH(Search!$N$7,J342))),OR(Search!$N$8="",ISNUMBER(SEARCH(Search!$N$8,J342)))),1,0))</f>
        <v>0</v>
      </c>
      <c r="L342" s="1" t="n">
        <f aca="false">L341+K342</f>
        <v>0</v>
      </c>
    </row>
    <row r="343" customFormat="false" ht="15" hidden="false" customHeight="true" outlineLevel="0" collapsed="false">
      <c r="A343" s="1" t="s">
        <v>261</v>
      </c>
      <c r="B343" s="1" t="s">
        <v>936</v>
      </c>
      <c r="C343" s="1" t="n">
        <v>28</v>
      </c>
      <c r="E343" s="1" t="s">
        <v>1107</v>
      </c>
      <c r="I343" s="1" t="s">
        <v>1048</v>
      </c>
      <c r="J343" s="1" t="s">
        <v>1108</v>
      </c>
      <c r="K343" s="1" t="n">
        <f aca="false">IF(Search!$D$5="",0,IF(AND(OR(Search!$N$5="",ISNUMBER(SEARCH(Search!$N$5,J343))),OR(Search!$N$6="",ISNUMBER(SEARCH(Search!$N$6,J343))),OR(Search!$N$7="",ISNUMBER(SEARCH(Search!$N$7,J343))),OR(Search!$N$8="",ISNUMBER(SEARCH(Search!$N$8,J343)))),1,0))</f>
        <v>0</v>
      </c>
      <c r="L343" s="1" t="n">
        <f aca="false">L342+K343</f>
        <v>0</v>
      </c>
    </row>
    <row r="344" customFormat="false" ht="15" hidden="false" customHeight="true" outlineLevel="0" collapsed="false">
      <c r="A344" s="1" t="s">
        <v>261</v>
      </c>
      <c r="B344" s="1" t="s">
        <v>936</v>
      </c>
      <c r="C344" s="1" t="n">
        <v>29</v>
      </c>
      <c r="E344" s="1" t="s">
        <v>1109</v>
      </c>
      <c r="I344" s="1" t="s">
        <v>1048</v>
      </c>
      <c r="J344" s="1" t="s">
        <v>1110</v>
      </c>
      <c r="K344" s="1" t="n">
        <f aca="false">IF(Search!$D$5="",0,IF(AND(OR(Search!$N$5="",ISNUMBER(SEARCH(Search!$N$5,J344))),OR(Search!$N$6="",ISNUMBER(SEARCH(Search!$N$6,J344))),OR(Search!$N$7="",ISNUMBER(SEARCH(Search!$N$7,J344))),OR(Search!$N$8="",ISNUMBER(SEARCH(Search!$N$8,J344)))),1,0))</f>
        <v>0</v>
      </c>
      <c r="L344" s="1" t="n">
        <f aca="false">L343+K344</f>
        <v>0</v>
      </c>
    </row>
    <row r="345" customFormat="false" ht="15" hidden="false" customHeight="true" outlineLevel="0" collapsed="false">
      <c r="A345" s="1" t="s">
        <v>261</v>
      </c>
      <c r="B345" s="1" t="s">
        <v>936</v>
      </c>
      <c r="C345" s="1" t="n">
        <v>30</v>
      </c>
      <c r="E345" s="1" t="s">
        <v>1111</v>
      </c>
      <c r="I345" s="1" t="s">
        <v>1048</v>
      </c>
      <c r="J345" s="1" t="s">
        <v>1112</v>
      </c>
      <c r="K345" s="1" t="n">
        <f aca="false">IF(Search!$D$5="",0,IF(AND(OR(Search!$N$5="",ISNUMBER(SEARCH(Search!$N$5,J345))),OR(Search!$N$6="",ISNUMBER(SEARCH(Search!$N$6,J345))),OR(Search!$N$7="",ISNUMBER(SEARCH(Search!$N$7,J345))),OR(Search!$N$8="",ISNUMBER(SEARCH(Search!$N$8,J345)))),1,0))</f>
        <v>0</v>
      </c>
      <c r="L345" s="1" t="n">
        <f aca="false">L344+K345</f>
        <v>0</v>
      </c>
    </row>
    <row r="346" customFormat="false" ht="15" hidden="false" customHeight="true" outlineLevel="0" collapsed="false">
      <c r="A346" s="1" t="s">
        <v>261</v>
      </c>
      <c r="B346" s="1" t="s">
        <v>936</v>
      </c>
      <c r="C346" s="1" t="n">
        <v>31</v>
      </c>
      <c r="E346" s="1" t="s">
        <v>1113</v>
      </c>
      <c r="H346" s="1" t="s">
        <v>1048</v>
      </c>
      <c r="I346" s="1" t="s">
        <v>1048</v>
      </c>
      <c r="J346" s="1" t="s">
        <v>1114</v>
      </c>
      <c r="K346" s="1" t="n">
        <f aca="false">IF(Search!$D$5="",0,IF(AND(OR(Search!$N$5="",ISNUMBER(SEARCH(Search!$N$5,J346))),OR(Search!$N$6="",ISNUMBER(SEARCH(Search!$N$6,J346))),OR(Search!$N$7="",ISNUMBER(SEARCH(Search!$N$7,J346))),OR(Search!$N$8="",ISNUMBER(SEARCH(Search!$N$8,J346)))),1,0))</f>
        <v>0</v>
      </c>
      <c r="L346" s="1" t="n">
        <f aca="false">L345+K346</f>
        <v>0</v>
      </c>
    </row>
    <row r="347" customFormat="false" ht="15" hidden="false" customHeight="true" outlineLevel="0" collapsed="false">
      <c r="A347" s="1" t="s">
        <v>261</v>
      </c>
      <c r="B347" s="1" t="s">
        <v>936</v>
      </c>
      <c r="C347" s="1" t="n">
        <v>32</v>
      </c>
      <c r="E347" s="1" t="s">
        <v>1115</v>
      </c>
      <c r="I347" s="1" t="s">
        <v>1048</v>
      </c>
      <c r="J347" s="1" t="s">
        <v>1116</v>
      </c>
      <c r="K347" s="1" t="n">
        <f aca="false">IF(Search!$D$5="",0,IF(AND(OR(Search!$N$5="",ISNUMBER(SEARCH(Search!$N$5,J347))),OR(Search!$N$6="",ISNUMBER(SEARCH(Search!$N$6,J347))),OR(Search!$N$7="",ISNUMBER(SEARCH(Search!$N$7,J347))),OR(Search!$N$8="",ISNUMBER(SEARCH(Search!$N$8,J347)))),1,0))</f>
        <v>0</v>
      </c>
      <c r="L347" s="1" t="n">
        <f aca="false">L346+K347</f>
        <v>0</v>
      </c>
    </row>
    <row r="348" customFormat="false" ht="15" hidden="false" customHeight="true" outlineLevel="0" collapsed="false">
      <c r="A348" s="1" t="s">
        <v>261</v>
      </c>
      <c r="B348" s="1" t="s">
        <v>936</v>
      </c>
      <c r="C348" s="1" t="n">
        <v>33</v>
      </c>
      <c r="E348" s="1" t="s">
        <v>1117</v>
      </c>
      <c r="J348" s="1" t="s">
        <v>1117</v>
      </c>
      <c r="K348" s="1" t="n">
        <f aca="false">IF(Search!$D$5="",0,IF(AND(OR(Search!$N$5="",ISNUMBER(SEARCH(Search!$N$5,J348))),OR(Search!$N$6="",ISNUMBER(SEARCH(Search!$N$6,J348))),OR(Search!$N$7="",ISNUMBER(SEARCH(Search!$N$7,J348))),OR(Search!$N$8="",ISNUMBER(SEARCH(Search!$N$8,J348)))),1,0))</f>
        <v>0</v>
      </c>
      <c r="L348" s="1" t="n">
        <f aca="false">L347+K348</f>
        <v>0</v>
      </c>
    </row>
    <row r="349" customFormat="false" ht="15" hidden="false" customHeight="true" outlineLevel="0" collapsed="false">
      <c r="A349" s="1" t="s">
        <v>261</v>
      </c>
      <c r="B349" s="1" t="s">
        <v>936</v>
      </c>
      <c r="C349" s="1" t="n">
        <v>34</v>
      </c>
      <c r="E349" s="1" t="s">
        <v>1118</v>
      </c>
      <c r="I349" s="1" t="s">
        <v>1048</v>
      </c>
      <c r="J349" s="1" t="s">
        <v>1119</v>
      </c>
      <c r="K349" s="1" t="n">
        <f aca="false">IF(Search!$D$5="",0,IF(AND(OR(Search!$N$5="",ISNUMBER(SEARCH(Search!$N$5,J349))),OR(Search!$N$6="",ISNUMBER(SEARCH(Search!$N$6,J349))),OR(Search!$N$7="",ISNUMBER(SEARCH(Search!$N$7,J349))),OR(Search!$N$8="",ISNUMBER(SEARCH(Search!$N$8,J349)))),1,0))</f>
        <v>0</v>
      </c>
      <c r="L349" s="1" t="n">
        <f aca="false">L348+K349</f>
        <v>0</v>
      </c>
    </row>
    <row r="350" customFormat="false" ht="15" hidden="false" customHeight="true" outlineLevel="0" collapsed="false">
      <c r="A350" s="1" t="s">
        <v>261</v>
      </c>
      <c r="B350" s="1" t="s">
        <v>936</v>
      </c>
      <c r="C350" s="1" t="n">
        <v>35</v>
      </c>
      <c r="E350" s="1" t="s">
        <v>1120</v>
      </c>
      <c r="J350" s="1" t="s">
        <v>1120</v>
      </c>
      <c r="K350" s="1" t="n">
        <f aca="false">IF(Search!$D$5="",0,IF(AND(OR(Search!$N$5="",ISNUMBER(SEARCH(Search!$N$5,J350))),OR(Search!$N$6="",ISNUMBER(SEARCH(Search!$N$6,J350))),OR(Search!$N$7="",ISNUMBER(SEARCH(Search!$N$7,J350))),OR(Search!$N$8="",ISNUMBER(SEARCH(Search!$N$8,J350)))),1,0))</f>
        <v>0</v>
      </c>
      <c r="L350" s="1" t="n">
        <f aca="false">L349+K350</f>
        <v>0</v>
      </c>
    </row>
    <row r="351" customFormat="false" ht="15" hidden="false" customHeight="true" outlineLevel="0" collapsed="false">
      <c r="A351" s="1" t="s">
        <v>261</v>
      </c>
      <c r="B351" s="1" t="s">
        <v>936</v>
      </c>
      <c r="C351" s="1" t="n">
        <v>36</v>
      </c>
      <c r="E351" s="1" t="s">
        <v>1121</v>
      </c>
      <c r="I351" s="1" t="s">
        <v>1048</v>
      </c>
      <c r="J351" s="1" t="s">
        <v>1122</v>
      </c>
      <c r="K351" s="1" t="n">
        <f aca="false">IF(Search!$D$5="",0,IF(AND(OR(Search!$N$5="",ISNUMBER(SEARCH(Search!$N$5,J351))),OR(Search!$N$6="",ISNUMBER(SEARCH(Search!$N$6,J351))),OR(Search!$N$7="",ISNUMBER(SEARCH(Search!$N$7,J351))),OR(Search!$N$8="",ISNUMBER(SEARCH(Search!$N$8,J351)))),1,0))</f>
        <v>0</v>
      </c>
      <c r="L351" s="1" t="n">
        <f aca="false">L350+K351</f>
        <v>0</v>
      </c>
    </row>
    <row r="352" customFormat="false" ht="15" hidden="false" customHeight="true" outlineLevel="0" collapsed="false">
      <c r="A352" s="1" t="s">
        <v>261</v>
      </c>
      <c r="B352" s="1" t="s">
        <v>936</v>
      </c>
      <c r="C352" s="1" t="n">
        <v>37</v>
      </c>
      <c r="E352" s="1" t="s">
        <v>1123</v>
      </c>
      <c r="I352" s="1" t="s">
        <v>1048</v>
      </c>
      <c r="J352" s="1" t="s">
        <v>1124</v>
      </c>
      <c r="K352" s="1" t="n">
        <f aca="false">IF(Search!$D$5="",0,IF(AND(OR(Search!$N$5="",ISNUMBER(SEARCH(Search!$N$5,J352))),OR(Search!$N$6="",ISNUMBER(SEARCH(Search!$N$6,J352))),OR(Search!$N$7="",ISNUMBER(SEARCH(Search!$N$7,J352))),OR(Search!$N$8="",ISNUMBER(SEARCH(Search!$N$8,J352)))),1,0))</f>
        <v>0</v>
      </c>
      <c r="L352" s="1" t="n">
        <f aca="false">L351+K352</f>
        <v>0</v>
      </c>
    </row>
    <row r="353" customFormat="false" ht="15" hidden="false" customHeight="true" outlineLevel="0" collapsed="false">
      <c r="A353" s="1" t="s">
        <v>261</v>
      </c>
      <c r="B353" s="1" t="s">
        <v>936</v>
      </c>
      <c r="C353" s="1" t="n">
        <v>38</v>
      </c>
      <c r="E353" s="1" t="s">
        <v>1125</v>
      </c>
      <c r="J353" s="1" t="s">
        <v>1125</v>
      </c>
      <c r="K353" s="1" t="n">
        <f aca="false">IF(Search!$D$5="",0,IF(AND(OR(Search!$N$5="",ISNUMBER(SEARCH(Search!$N$5,J353))),OR(Search!$N$6="",ISNUMBER(SEARCH(Search!$N$6,J353))),OR(Search!$N$7="",ISNUMBER(SEARCH(Search!$N$7,J353))),OR(Search!$N$8="",ISNUMBER(SEARCH(Search!$N$8,J353)))),1,0))</f>
        <v>0</v>
      </c>
      <c r="L353" s="1" t="n">
        <f aca="false">L352+K353</f>
        <v>0</v>
      </c>
    </row>
    <row r="354" customFormat="false" ht="15" hidden="false" customHeight="true" outlineLevel="0" collapsed="false">
      <c r="A354" s="1" t="s">
        <v>261</v>
      </c>
      <c r="B354" s="1" t="s">
        <v>936</v>
      </c>
      <c r="C354" s="1" t="n">
        <v>39</v>
      </c>
      <c r="E354" s="1" t="s">
        <v>1126</v>
      </c>
      <c r="J354" s="1" t="s">
        <v>1126</v>
      </c>
      <c r="K354" s="1" t="n">
        <f aca="false">IF(Search!$D$5="",0,IF(AND(OR(Search!$N$5="",ISNUMBER(SEARCH(Search!$N$5,J354))),OR(Search!$N$6="",ISNUMBER(SEARCH(Search!$N$6,J354))),OR(Search!$N$7="",ISNUMBER(SEARCH(Search!$N$7,J354))),OR(Search!$N$8="",ISNUMBER(SEARCH(Search!$N$8,J354)))),1,0))</f>
        <v>0</v>
      </c>
      <c r="L354" s="1" t="n">
        <f aca="false">L353+K354</f>
        <v>0</v>
      </c>
    </row>
    <row r="355" customFormat="false" ht="15" hidden="false" customHeight="true" outlineLevel="0" collapsed="false">
      <c r="A355" s="1" t="s">
        <v>261</v>
      </c>
      <c r="B355" s="1" t="s">
        <v>936</v>
      </c>
      <c r="C355" s="1" t="n">
        <v>40</v>
      </c>
      <c r="E355" s="1" t="s">
        <v>1127</v>
      </c>
      <c r="J355" s="1" t="s">
        <v>1127</v>
      </c>
      <c r="K355" s="1" t="n">
        <f aca="false">IF(Search!$D$5="",0,IF(AND(OR(Search!$N$5="",ISNUMBER(SEARCH(Search!$N$5,J355))),OR(Search!$N$6="",ISNUMBER(SEARCH(Search!$N$6,J355))),OR(Search!$N$7="",ISNUMBER(SEARCH(Search!$N$7,J355))),OR(Search!$N$8="",ISNUMBER(SEARCH(Search!$N$8,J355)))),1,0))</f>
        <v>0</v>
      </c>
      <c r="L355" s="1" t="n">
        <f aca="false">L354+K355</f>
        <v>0</v>
      </c>
    </row>
    <row r="356" customFormat="false" ht="15" hidden="false" customHeight="true" outlineLevel="0" collapsed="false">
      <c r="A356" s="1" t="s">
        <v>261</v>
      </c>
      <c r="B356" s="1" t="s">
        <v>936</v>
      </c>
      <c r="C356" s="1" t="n">
        <v>41</v>
      </c>
      <c r="E356" s="1" t="s">
        <v>1128</v>
      </c>
      <c r="J356" s="1" t="s">
        <v>1128</v>
      </c>
      <c r="K356" s="1" t="n">
        <f aca="false">IF(Search!$D$5="",0,IF(AND(OR(Search!$N$5="",ISNUMBER(SEARCH(Search!$N$5,J356))),OR(Search!$N$6="",ISNUMBER(SEARCH(Search!$N$6,J356))),OR(Search!$N$7="",ISNUMBER(SEARCH(Search!$N$7,J356))),OR(Search!$N$8="",ISNUMBER(SEARCH(Search!$N$8,J356)))),1,0))</f>
        <v>0</v>
      </c>
      <c r="L356" s="1" t="n">
        <f aca="false">L355+K356</f>
        <v>0</v>
      </c>
    </row>
    <row r="357" customFormat="false" ht="15" hidden="false" customHeight="true" outlineLevel="0" collapsed="false">
      <c r="A357" s="1" t="s">
        <v>261</v>
      </c>
      <c r="B357" s="1" t="s">
        <v>936</v>
      </c>
      <c r="C357" s="1" t="n">
        <v>42</v>
      </c>
      <c r="E357" s="1" t="s">
        <v>1129</v>
      </c>
      <c r="J357" s="1" t="s">
        <v>1129</v>
      </c>
      <c r="K357" s="1" t="n">
        <f aca="false">IF(Search!$D$5="",0,IF(AND(OR(Search!$N$5="",ISNUMBER(SEARCH(Search!$N$5,J357))),OR(Search!$N$6="",ISNUMBER(SEARCH(Search!$N$6,J357))),OR(Search!$N$7="",ISNUMBER(SEARCH(Search!$N$7,J357))),OR(Search!$N$8="",ISNUMBER(SEARCH(Search!$N$8,J357)))),1,0))</f>
        <v>0</v>
      </c>
      <c r="L357" s="1" t="n">
        <f aca="false">L356+K357</f>
        <v>0</v>
      </c>
    </row>
    <row r="358" customFormat="false" ht="15" hidden="false" customHeight="true" outlineLevel="0" collapsed="false">
      <c r="A358" s="1" t="s">
        <v>261</v>
      </c>
      <c r="B358" s="1" t="s">
        <v>936</v>
      </c>
      <c r="C358" s="1" t="n">
        <v>43</v>
      </c>
      <c r="E358" s="1" t="s">
        <v>1130</v>
      </c>
      <c r="J358" s="1" t="s">
        <v>1130</v>
      </c>
      <c r="K358" s="1" t="n">
        <f aca="false">IF(Search!$D$5="",0,IF(AND(OR(Search!$N$5="",ISNUMBER(SEARCH(Search!$N$5,J358))),OR(Search!$N$6="",ISNUMBER(SEARCH(Search!$N$6,J358))),OR(Search!$N$7="",ISNUMBER(SEARCH(Search!$N$7,J358))),OR(Search!$N$8="",ISNUMBER(SEARCH(Search!$N$8,J358)))),1,0))</f>
        <v>0</v>
      </c>
      <c r="L358" s="1" t="n">
        <f aca="false">L357+K358</f>
        <v>0</v>
      </c>
    </row>
    <row r="359" customFormat="false" ht="15" hidden="false" customHeight="true" outlineLevel="0" collapsed="false">
      <c r="A359" s="1" t="s">
        <v>261</v>
      </c>
      <c r="B359" s="1" t="s">
        <v>936</v>
      </c>
      <c r="C359" s="1" t="n">
        <v>44</v>
      </c>
      <c r="E359" s="1" t="s">
        <v>1131</v>
      </c>
      <c r="J359" s="1" t="s">
        <v>1131</v>
      </c>
      <c r="K359" s="1" t="n">
        <f aca="false">IF(Search!$D$5="",0,IF(AND(OR(Search!$N$5="",ISNUMBER(SEARCH(Search!$N$5,J359))),OR(Search!$N$6="",ISNUMBER(SEARCH(Search!$N$6,J359))),OR(Search!$N$7="",ISNUMBER(SEARCH(Search!$N$7,J359))),OR(Search!$N$8="",ISNUMBER(SEARCH(Search!$N$8,J359)))),1,0))</f>
        <v>0</v>
      </c>
      <c r="L359" s="1" t="n">
        <f aca="false">L358+K359</f>
        <v>0</v>
      </c>
    </row>
    <row r="360" customFormat="false" ht="15" hidden="false" customHeight="true" outlineLevel="0" collapsed="false">
      <c r="A360" s="1" t="s">
        <v>261</v>
      </c>
      <c r="B360" s="1" t="s">
        <v>936</v>
      </c>
      <c r="C360" s="1" t="n">
        <v>46</v>
      </c>
      <c r="E360" s="1" t="s">
        <v>1082</v>
      </c>
      <c r="J360" s="1" t="s">
        <v>1082</v>
      </c>
      <c r="K360" s="1" t="n">
        <f aca="false">IF(Search!$D$5="",0,IF(AND(OR(Search!$N$5="",ISNUMBER(SEARCH(Search!$N$5,J360))),OR(Search!$N$6="",ISNUMBER(SEARCH(Search!$N$6,J360))),OR(Search!$N$7="",ISNUMBER(SEARCH(Search!$N$7,J360))),OR(Search!$N$8="",ISNUMBER(SEARCH(Search!$N$8,J360)))),1,0))</f>
        <v>0</v>
      </c>
      <c r="L360" s="1" t="n">
        <f aca="false">L359+K360</f>
        <v>0</v>
      </c>
    </row>
    <row r="361" customFormat="false" ht="15" hidden="false" customHeight="true" outlineLevel="0" collapsed="false">
      <c r="A361" s="1" t="s">
        <v>261</v>
      </c>
      <c r="B361" s="1" t="s">
        <v>936</v>
      </c>
      <c r="C361" s="1" t="n">
        <v>47</v>
      </c>
      <c r="E361" s="1" t="s">
        <v>1025</v>
      </c>
      <c r="J361" s="1" t="s">
        <v>1025</v>
      </c>
      <c r="K361" s="1" t="n">
        <f aca="false">IF(Search!$D$5="",0,IF(AND(OR(Search!$N$5="",ISNUMBER(SEARCH(Search!$N$5,J361))),OR(Search!$N$6="",ISNUMBER(SEARCH(Search!$N$6,J361))),OR(Search!$N$7="",ISNUMBER(SEARCH(Search!$N$7,J361))),OR(Search!$N$8="",ISNUMBER(SEARCH(Search!$N$8,J361)))),1,0))</f>
        <v>0</v>
      </c>
      <c r="L361" s="1" t="n">
        <f aca="false">L360+K361</f>
        <v>0</v>
      </c>
    </row>
    <row r="362" customFormat="false" ht="15" hidden="false" customHeight="true" outlineLevel="0" collapsed="false">
      <c r="A362" s="1" t="s">
        <v>264</v>
      </c>
      <c r="B362" s="1" t="s">
        <v>936</v>
      </c>
      <c r="C362" s="1" t="n">
        <v>2</v>
      </c>
      <c r="E362" s="1" t="s">
        <v>1132</v>
      </c>
      <c r="J362" s="1" t="s">
        <v>1132</v>
      </c>
      <c r="K362" s="1" t="n">
        <f aca="false">IF(Search!$D$5="",0,IF(AND(OR(Search!$N$5="",ISNUMBER(SEARCH(Search!$N$5,J362))),OR(Search!$N$6="",ISNUMBER(SEARCH(Search!$N$6,J362))),OR(Search!$N$7="",ISNUMBER(SEARCH(Search!$N$7,J362))),OR(Search!$N$8="",ISNUMBER(SEARCH(Search!$N$8,J362)))),1,0))</f>
        <v>0</v>
      </c>
      <c r="L362" s="1" t="n">
        <f aca="false">L361+K362</f>
        <v>0</v>
      </c>
    </row>
    <row r="363" customFormat="false" ht="15" hidden="false" customHeight="true" outlineLevel="0" collapsed="false">
      <c r="A363" s="1" t="s">
        <v>264</v>
      </c>
      <c r="B363" s="1" t="s">
        <v>936</v>
      </c>
      <c r="C363" s="1" t="n">
        <v>3</v>
      </c>
      <c r="E363" s="1" t="s">
        <v>1133</v>
      </c>
      <c r="J363" s="1" t="s">
        <v>1133</v>
      </c>
      <c r="K363" s="1" t="n">
        <f aca="false">IF(Search!$D$5="",0,IF(AND(OR(Search!$N$5="",ISNUMBER(SEARCH(Search!$N$5,J363))),OR(Search!$N$6="",ISNUMBER(SEARCH(Search!$N$6,J363))),OR(Search!$N$7="",ISNUMBER(SEARCH(Search!$N$7,J363))),OR(Search!$N$8="",ISNUMBER(SEARCH(Search!$N$8,J363)))),1,0))</f>
        <v>0</v>
      </c>
      <c r="L363" s="1" t="n">
        <f aca="false">L362+K363</f>
        <v>0</v>
      </c>
    </row>
    <row r="364" customFormat="false" ht="15" hidden="false" customHeight="true" outlineLevel="0" collapsed="false">
      <c r="A364" s="1" t="s">
        <v>264</v>
      </c>
      <c r="B364" s="1" t="s">
        <v>936</v>
      </c>
      <c r="C364" s="1" t="n">
        <v>5</v>
      </c>
      <c r="E364" s="1" t="s">
        <v>1028</v>
      </c>
      <c r="F364" s="1" t="s">
        <v>1029</v>
      </c>
      <c r="J364" s="1" t="s">
        <v>1030</v>
      </c>
      <c r="K364" s="1" t="n">
        <f aca="false">IF(Search!$D$5="",0,IF(AND(OR(Search!$N$5="",ISNUMBER(SEARCH(Search!$N$5,J364))),OR(Search!$N$6="",ISNUMBER(SEARCH(Search!$N$6,J364))),OR(Search!$N$7="",ISNUMBER(SEARCH(Search!$N$7,J364))),OR(Search!$N$8="",ISNUMBER(SEARCH(Search!$N$8,J364)))),1,0))</f>
        <v>0</v>
      </c>
      <c r="L364" s="1" t="n">
        <f aca="false">L363+K364</f>
        <v>0</v>
      </c>
    </row>
    <row r="365" customFormat="false" ht="15" hidden="false" customHeight="true" outlineLevel="0" collapsed="false">
      <c r="A365" s="1" t="s">
        <v>264</v>
      </c>
      <c r="B365" s="1" t="s">
        <v>936</v>
      </c>
      <c r="C365" s="1" t="n">
        <v>6</v>
      </c>
      <c r="E365" s="1" t="s">
        <v>632</v>
      </c>
      <c r="F365" s="1" t="s">
        <v>1031</v>
      </c>
      <c r="J365" s="1" t="s">
        <v>1032</v>
      </c>
      <c r="K365" s="1" t="n">
        <f aca="false">IF(Search!$D$5="",0,IF(AND(OR(Search!$N$5="",ISNUMBER(SEARCH(Search!$N$5,J365))),OR(Search!$N$6="",ISNUMBER(SEARCH(Search!$N$6,J365))),OR(Search!$N$7="",ISNUMBER(SEARCH(Search!$N$7,J365))),OR(Search!$N$8="",ISNUMBER(SEARCH(Search!$N$8,J365)))),1,0))</f>
        <v>0</v>
      </c>
      <c r="L365" s="1" t="n">
        <f aca="false">L364+K365</f>
        <v>0</v>
      </c>
    </row>
    <row r="366" customFormat="false" ht="15" hidden="false" customHeight="true" outlineLevel="0" collapsed="false">
      <c r="A366" s="1" t="s">
        <v>264</v>
      </c>
      <c r="B366" s="1" t="s">
        <v>936</v>
      </c>
      <c r="C366" s="1" t="n">
        <v>7</v>
      </c>
      <c r="E366" s="1" t="s">
        <v>1033</v>
      </c>
      <c r="F366" s="1" t="s">
        <v>1034</v>
      </c>
      <c r="J366" s="1" t="s">
        <v>1035</v>
      </c>
      <c r="K366" s="1" t="n">
        <f aca="false">IF(Search!$D$5="",0,IF(AND(OR(Search!$N$5="",ISNUMBER(SEARCH(Search!$N$5,J366))),OR(Search!$N$6="",ISNUMBER(SEARCH(Search!$N$6,J366))),OR(Search!$N$7="",ISNUMBER(SEARCH(Search!$N$7,J366))),OR(Search!$N$8="",ISNUMBER(SEARCH(Search!$N$8,J366)))),1,0))</f>
        <v>0</v>
      </c>
      <c r="L366" s="1" t="n">
        <f aca="false">L365+K366</f>
        <v>0</v>
      </c>
    </row>
    <row r="367" customFormat="false" ht="15" hidden="false" customHeight="true" outlineLevel="0" collapsed="false">
      <c r="A367" s="1" t="s">
        <v>264</v>
      </c>
      <c r="B367" s="1" t="s">
        <v>936</v>
      </c>
      <c r="C367" s="1" t="n">
        <v>8</v>
      </c>
      <c r="E367" s="1" t="s">
        <v>1036</v>
      </c>
      <c r="F367" s="1" t="s">
        <v>1037</v>
      </c>
      <c r="J367" s="1" t="s">
        <v>1038</v>
      </c>
      <c r="K367" s="1" t="n">
        <f aca="false">IF(Search!$D$5="",0,IF(AND(OR(Search!$N$5="",ISNUMBER(SEARCH(Search!$N$5,J367))),OR(Search!$N$6="",ISNUMBER(SEARCH(Search!$N$6,J367))),OR(Search!$N$7="",ISNUMBER(SEARCH(Search!$N$7,J367))),OR(Search!$N$8="",ISNUMBER(SEARCH(Search!$N$8,J367)))),1,0))</f>
        <v>0</v>
      </c>
      <c r="L367" s="1" t="n">
        <f aca="false">L366+K367</f>
        <v>0</v>
      </c>
    </row>
    <row r="368" customFormat="false" ht="15" hidden="false" customHeight="true" outlineLevel="0" collapsed="false">
      <c r="A368" s="1" t="s">
        <v>264</v>
      </c>
      <c r="B368" s="1" t="s">
        <v>936</v>
      </c>
      <c r="C368" s="1" t="n">
        <v>10</v>
      </c>
      <c r="E368" s="1" t="s">
        <v>1134</v>
      </c>
      <c r="J368" s="1" t="s">
        <v>1134</v>
      </c>
      <c r="K368" s="1" t="n">
        <f aca="false">IF(Search!$D$5="",0,IF(AND(OR(Search!$N$5="",ISNUMBER(SEARCH(Search!$N$5,J368))),OR(Search!$N$6="",ISNUMBER(SEARCH(Search!$N$6,J368))),OR(Search!$N$7="",ISNUMBER(SEARCH(Search!$N$7,J368))),OR(Search!$N$8="",ISNUMBER(SEARCH(Search!$N$8,J368)))),1,0))</f>
        <v>0</v>
      </c>
      <c r="L368" s="1" t="n">
        <f aca="false">L367+K368</f>
        <v>0</v>
      </c>
    </row>
    <row r="369" customFormat="false" ht="15" hidden="false" customHeight="true" outlineLevel="0" collapsed="false">
      <c r="A369" s="1" t="s">
        <v>264</v>
      </c>
      <c r="B369" s="1" t="s">
        <v>936</v>
      </c>
      <c r="C369" s="1" t="n">
        <v>11</v>
      </c>
      <c r="F369" s="1" t="s">
        <v>1040</v>
      </c>
      <c r="J369" s="1" t="s">
        <v>1040</v>
      </c>
      <c r="K369" s="1" t="n">
        <f aca="false">IF(Search!$D$5="",0,IF(AND(OR(Search!$N$5="",ISNUMBER(SEARCH(Search!$N$5,J369))),OR(Search!$N$6="",ISNUMBER(SEARCH(Search!$N$6,J369))),OR(Search!$N$7="",ISNUMBER(SEARCH(Search!$N$7,J369))),OR(Search!$N$8="",ISNUMBER(SEARCH(Search!$N$8,J369)))),1,0))</f>
        <v>0</v>
      </c>
      <c r="L369" s="1" t="n">
        <f aca="false">L368+K369</f>
        <v>0</v>
      </c>
    </row>
    <row r="370" customFormat="false" ht="27.75" hidden="false" customHeight="true" outlineLevel="0" collapsed="false">
      <c r="A370" s="1" t="s">
        <v>264</v>
      </c>
      <c r="B370" s="1" t="s">
        <v>936</v>
      </c>
      <c r="C370" s="1" t="n">
        <v>12</v>
      </c>
      <c r="E370" s="46" t="s">
        <v>1135</v>
      </c>
      <c r="F370" s="1" t="s">
        <v>1042</v>
      </c>
      <c r="G370" s="1" t="s">
        <v>1043</v>
      </c>
      <c r="H370" s="1" t="s">
        <v>1044</v>
      </c>
      <c r="I370" s="1" t="s">
        <v>1045</v>
      </c>
      <c r="J370" s="46" t="s">
        <v>1136</v>
      </c>
      <c r="K370" s="1" t="n">
        <f aca="false">IF(Search!$D$5="",0,IF(AND(OR(Search!$N$5="",ISNUMBER(SEARCH(Search!$N$5,J370))),OR(Search!$N$6="",ISNUMBER(SEARCH(Search!$N$6,J370))),OR(Search!$N$7="",ISNUMBER(SEARCH(Search!$N$7,J370))),OR(Search!$N$8="",ISNUMBER(SEARCH(Search!$N$8,J370)))),1,0))</f>
        <v>0</v>
      </c>
      <c r="L370" s="1" t="n">
        <f aca="false">L369+K370</f>
        <v>0</v>
      </c>
    </row>
    <row r="371" customFormat="false" ht="15" hidden="false" customHeight="true" outlineLevel="0" collapsed="false">
      <c r="A371" s="1" t="s">
        <v>264</v>
      </c>
      <c r="B371" s="1" t="s">
        <v>936</v>
      </c>
      <c r="C371" s="1" t="n">
        <v>13</v>
      </c>
      <c r="E371" s="1" t="s">
        <v>1137</v>
      </c>
      <c r="J371" s="1" t="s">
        <v>1137</v>
      </c>
      <c r="K371" s="1" t="n">
        <f aca="false">IF(Search!$D$5="",0,IF(AND(OR(Search!$N$5="",ISNUMBER(SEARCH(Search!$N$5,J371))),OR(Search!$N$6="",ISNUMBER(SEARCH(Search!$N$6,J371))),OR(Search!$N$7="",ISNUMBER(SEARCH(Search!$N$7,J371))),OR(Search!$N$8="",ISNUMBER(SEARCH(Search!$N$8,J371)))),1,0))</f>
        <v>0</v>
      </c>
      <c r="L371" s="1" t="n">
        <f aca="false">L370+K371</f>
        <v>0</v>
      </c>
    </row>
    <row r="372" customFormat="false" ht="15" hidden="false" customHeight="true" outlineLevel="0" collapsed="false">
      <c r="A372" s="1" t="s">
        <v>264</v>
      </c>
      <c r="B372" s="1" t="s">
        <v>936</v>
      </c>
      <c r="C372" s="1" t="n">
        <v>14</v>
      </c>
      <c r="E372" s="1" t="s">
        <v>1138</v>
      </c>
      <c r="J372" s="1" t="s">
        <v>1138</v>
      </c>
      <c r="K372" s="1" t="n">
        <f aca="false">IF(Search!$D$5="",0,IF(AND(OR(Search!$N$5="",ISNUMBER(SEARCH(Search!$N$5,J372))),OR(Search!$N$6="",ISNUMBER(SEARCH(Search!$N$6,J372))),OR(Search!$N$7="",ISNUMBER(SEARCH(Search!$N$7,J372))),OR(Search!$N$8="",ISNUMBER(SEARCH(Search!$N$8,J372)))),1,0))</f>
        <v>0</v>
      </c>
      <c r="L372" s="1" t="n">
        <f aca="false">L371+K372</f>
        <v>0</v>
      </c>
    </row>
    <row r="373" customFormat="false" ht="15" hidden="false" customHeight="true" outlineLevel="0" collapsed="false">
      <c r="A373" s="1" t="s">
        <v>264</v>
      </c>
      <c r="B373" s="1" t="s">
        <v>936</v>
      </c>
      <c r="C373" s="1" t="n">
        <v>15</v>
      </c>
      <c r="E373" s="1" t="s">
        <v>1139</v>
      </c>
      <c r="J373" s="1" t="s">
        <v>1139</v>
      </c>
      <c r="K373" s="1" t="n">
        <f aca="false">IF(Search!$D$5="",0,IF(AND(OR(Search!$N$5="",ISNUMBER(SEARCH(Search!$N$5,J373))),OR(Search!$N$6="",ISNUMBER(SEARCH(Search!$N$6,J373))),OR(Search!$N$7="",ISNUMBER(SEARCH(Search!$N$7,J373))),OR(Search!$N$8="",ISNUMBER(SEARCH(Search!$N$8,J373)))),1,0))</f>
        <v>0</v>
      </c>
      <c r="L373" s="1" t="n">
        <f aca="false">L372+K373</f>
        <v>0</v>
      </c>
    </row>
    <row r="374" customFormat="false" ht="15" hidden="false" customHeight="true" outlineLevel="0" collapsed="false">
      <c r="A374" s="1" t="s">
        <v>264</v>
      </c>
      <c r="B374" s="1" t="s">
        <v>936</v>
      </c>
      <c r="C374" s="1" t="n">
        <v>17</v>
      </c>
      <c r="E374" s="1" t="s">
        <v>1082</v>
      </c>
      <c r="J374" s="1" t="s">
        <v>1082</v>
      </c>
      <c r="K374" s="1" t="n">
        <f aca="false">IF(Search!$D$5="",0,IF(AND(OR(Search!$N$5="",ISNUMBER(SEARCH(Search!$N$5,J374))),OR(Search!$N$6="",ISNUMBER(SEARCH(Search!$N$6,J374))),OR(Search!$N$7="",ISNUMBER(SEARCH(Search!$N$7,J374))),OR(Search!$N$8="",ISNUMBER(SEARCH(Search!$N$8,J374)))),1,0))</f>
        <v>0</v>
      </c>
      <c r="L374" s="1" t="n">
        <f aca="false">L373+K374</f>
        <v>0</v>
      </c>
    </row>
    <row r="375" customFormat="false" ht="15" hidden="false" customHeight="true" outlineLevel="0" collapsed="false">
      <c r="A375" s="1" t="s">
        <v>264</v>
      </c>
      <c r="B375" s="1" t="s">
        <v>936</v>
      </c>
      <c r="C375" s="1" t="n">
        <v>18</v>
      </c>
      <c r="E375" s="1" t="s">
        <v>1025</v>
      </c>
      <c r="J375" s="1" t="s">
        <v>1025</v>
      </c>
      <c r="K375" s="1" t="n">
        <f aca="false">IF(Search!$D$5="",0,IF(AND(OR(Search!$N$5="",ISNUMBER(SEARCH(Search!$N$5,J375))),OR(Search!$N$6="",ISNUMBER(SEARCH(Search!$N$6,J375))),OR(Search!$N$7="",ISNUMBER(SEARCH(Search!$N$7,J375))),OR(Search!$N$8="",ISNUMBER(SEARCH(Search!$N$8,J375)))),1,0))</f>
        <v>0</v>
      </c>
      <c r="L375" s="1" t="n">
        <f aca="false">L374+K375</f>
        <v>0</v>
      </c>
    </row>
    <row r="376" customFormat="false" ht="15" hidden="false" customHeight="true" outlineLevel="0" collapsed="false">
      <c r="A376" s="1" t="s">
        <v>267</v>
      </c>
      <c r="B376" s="1" t="s">
        <v>936</v>
      </c>
      <c r="C376" s="1" t="n">
        <v>2</v>
      </c>
      <c r="E376" s="1" t="s">
        <v>1140</v>
      </c>
      <c r="J376" s="1" t="s">
        <v>1140</v>
      </c>
      <c r="K376" s="1" t="n">
        <f aca="false">IF(Search!$D$5="",0,IF(AND(OR(Search!$N$5="",ISNUMBER(SEARCH(Search!$N$5,J376))),OR(Search!$N$6="",ISNUMBER(SEARCH(Search!$N$6,J376))),OR(Search!$N$7="",ISNUMBER(SEARCH(Search!$N$7,J376))),OR(Search!$N$8="",ISNUMBER(SEARCH(Search!$N$8,J376)))),1,0))</f>
        <v>0</v>
      </c>
      <c r="L376" s="1" t="n">
        <f aca="false">L375+K376</f>
        <v>0</v>
      </c>
    </row>
    <row r="377" customFormat="false" ht="15" hidden="false" customHeight="true" outlineLevel="0" collapsed="false">
      <c r="A377" s="1" t="s">
        <v>267</v>
      </c>
      <c r="B377" s="1" t="s">
        <v>936</v>
      </c>
      <c r="C377" s="1" t="n">
        <v>3</v>
      </c>
      <c r="E377" s="1" t="s">
        <v>1141</v>
      </c>
      <c r="J377" s="1" t="s">
        <v>1141</v>
      </c>
      <c r="K377" s="1" t="n">
        <f aca="false">IF(Search!$D$5="",0,IF(AND(OR(Search!$N$5="",ISNUMBER(SEARCH(Search!$N$5,J377))),OR(Search!$N$6="",ISNUMBER(SEARCH(Search!$N$6,J377))),OR(Search!$N$7="",ISNUMBER(SEARCH(Search!$N$7,J377))),OR(Search!$N$8="",ISNUMBER(SEARCH(Search!$N$8,J377)))),1,0))</f>
        <v>0</v>
      </c>
      <c r="L377" s="1" t="n">
        <f aca="false">L376+K377</f>
        <v>0</v>
      </c>
    </row>
    <row r="378" customFormat="false" ht="15" hidden="false" customHeight="true" outlineLevel="0" collapsed="false">
      <c r="A378" s="1" t="s">
        <v>267</v>
      </c>
      <c r="B378" s="1" t="s">
        <v>936</v>
      </c>
      <c r="C378" s="1" t="n">
        <v>5</v>
      </c>
      <c r="E378" s="1" t="s">
        <v>1028</v>
      </c>
      <c r="F378" s="1" t="s">
        <v>1029</v>
      </c>
      <c r="J378" s="1" t="s">
        <v>1030</v>
      </c>
      <c r="K378" s="1" t="n">
        <f aca="false">IF(Search!$D$5="",0,IF(AND(OR(Search!$N$5="",ISNUMBER(SEARCH(Search!$N$5,J378))),OR(Search!$N$6="",ISNUMBER(SEARCH(Search!$N$6,J378))),OR(Search!$N$7="",ISNUMBER(SEARCH(Search!$N$7,J378))),OR(Search!$N$8="",ISNUMBER(SEARCH(Search!$N$8,J378)))),1,0))</f>
        <v>0</v>
      </c>
      <c r="L378" s="1" t="n">
        <f aca="false">L377+K378</f>
        <v>0</v>
      </c>
    </row>
    <row r="379" customFormat="false" ht="15" hidden="false" customHeight="true" outlineLevel="0" collapsed="false">
      <c r="A379" s="1" t="s">
        <v>267</v>
      </c>
      <c r="B379" s="1" t="s">
        <v>936</v>
      </c>
      <c r="C379" s="1" t="n">
        <v>6</v>
      </c>
      <c r="E379" s="1" t="s">
        <v>632</v>
      </c>
      <c r="F379" s="1" t="s">
        <v>1031</v>
      </c>
      <c r="J379" s="1" t="s">
        <v>1032</v>
      </c>
      <c r="K379" s="1" t="n">
        <f aca="false">IF(Search!$D$5="",0,IF(AND(OR(Search!$N$5="",ISNUMBER(SEARCH(Search!$N$5,J379))),OR(Search!$N$6="",ISNUMBER(SEARCH(Search!$N$6,J379))),OR(Search!$N$7="",ISNUMBER(SEARCH(Search!$N$7,J379))),OR(Search!$N$8="",ISNUMBER(SEARCH(Search!$N$8,J379)))),1,0))</f>
        <v>0</v>
      </c>
      <c r="L379" s="1" t="n">
        <f aca="false">L378+K379</f>
        <v>0</v>
      </c>
    </row>
    <row r="380" customFormat="false" ht="15" hidden="false" customHeight="true" outlineLevel="0" collapsed="false">
      <c r="A380" s="1" t="s">
        <v>267</v>
      </c>
      <c r="B380" s="1" t="s">
        <v>936</v>
      </c>
      <c r="C380" s="1" t="n">
        <v>7</v>
      </c>
      <c r="E380" s="1" t="s">
        <v>1033</v>
      </c>
      <c r="F380" s="1" t="s">
        <v>1034</v>
      </c>
      <c r="J380" s="1" t="s">
        <v>1035</v>
      </c>
      <c r="K380" s="1" t="n">
        <f aca="false">IF(Search!$D$5="",0,IF(AND(OR(Search!$N$5="",ISNUMBER(SEARCH(Search!$N$5,J380))),OR(Search!$N$6="",ISNUMBER(SEARCH(Search!$N$6,J380))),OR(Search!$N$7="",ISNUMBER(SEARCH(Search!$N$7,J380))),OR(Search!$N$8="",ISNUMBER(SEARCH(Search!$N$8,J380)))),1,0))</f>
        <v>0</v>
      </c>
      <c r="L380" s="1" t="n">
        <f aca="false">L379+K380</f>
        <v>0</v>
      </c>
    </row>
    <row r="381" customFormat="false" ht="15" hidden="false" customHeight="true" outlineLevel="0" collapsed="false">
      <c r="A381" s="1" t="s">
        <v>267</v>
      </c>
      <c r="B381" s="1" t="s">
        <v>936</v>
      </c>
      <c r="C381" s="1" t="n">
        <v>8</v>
      </c>
      <c r="E381" s="1" t="s">
        <v>1036</v>
      </c>
      <c r="F381" s="1" t="s">
        <v>1037</v>
      </c>
      <c r="J381" s="1" t="s">
        <v>1038</v>
      </c>
      <c r="K381" s="1" t="n">
        <f aca="false">IF(Search!$D$5="",0,IF(AND(OR(Search!$N$5="",ISNUMBER(SEARCH(Search!$N$5,J381))),OR(Search!$N$6="",ISNUMBER(SEARCH(Search!$N$6,J381))),OR(Search!$N$7="",ISNUMBER(SEARCH(Search!$N$7,J381))),OR(Search!$N$8="",ISNUMBER(SEARCH(Search!$N$8,J381)))),1,0))</f>
        <v>0</v>
      </c>
      <c r="L381" s="1" t="n">
        <f aca="false">L380+K381</f>
        <v>0</v>
      </c>
    </row>
    <row r="382" customFormat="false" ht="15" hidden="false" customHeight="true" outlineLevel="0" collapsed="false">
      <c r="A382" s="1" t="s">
        <v>267</v>
      </c>
      <c r="B382" s="1" t="s">
        <v>936</v>
      </c>
      <c r="C382" s="1" t="n">
        <v>10</v>
      </c>
      <c r="E382" s="1" t="s">
        <v>1142</v>
      </c>
      <c r="J382" s="1" t="s">
        <v>1142</v>
      </c>
      <c r="K382" s="1" t="n">
        <f aca="false">IF(Search!$D$5="",0,IF(AND(OR(Search!$N$5="",ISNUMBER(SEARCH(Search!$N$5,J382))),OR(Search!$N$6="",ISNUMBER(SEARCH(Search!$N$6,J382))),OR(Search!$N$7="",ISNUMBER(SEARCH(Search!$N$7,J382))),OR(Search!$N$8="",ISNUMBER(SEARCH(Search!$N$8,J382)))),1,0))</f>
        <v>0</v>
      </c>
      <c r="L382" s="1" t="n">
        <f aca="false">L381+K382</f>
        <v>0</v>
      </c>
    </row>
    <row r="383" customFormat="false" ht="15" hidden="false" customHeight="true" outlineLevel="0" collapsed="false">
      <c r="A383" s="1" t="s">
        <v>267</v>
      </c>
      <c r="B383" s="1" t="s">
        <v>936</v>
      </c>
      <c r="C383" s="1" t="n">
        <v>11</v>
      </c>
      <c r="F383" s="1" t="s">
        <v>1040</v>
      </c>
      <c r="J383" s="1" t="s">
        <v>1040</v>
      </c>
      <c r="K383" s="1" t="n">
        <f aca="false">IF(Search!$D$5="",0,IF(AND(OR(Search!$N$5="",ISNUMBER(SEARCH(Search!$N$5,J383))),OR(Search!$N$6="",ISNUMBER(SEARCH(Search!$N$6,J383))),OR(Search!$N$7="",ISNUMBER(SEARCH(Search!$N$7,J383))),OR(Search!$N$8="",ISNUMBER(SEARCH(Search!$N$8,J383)))),1,0))</f>
        <v>0</v>
      </c>
      <c r="L383" s="1" t="n">
        <f aca="false">L382+K383</f>
        <v>0</v>
      </c>
    </row>
    <row r="384" customFormat="false" ht="27.75" hidden="false" customHeight="true" outlineLevel="0" collapsed="false">
      <c r="A384" s="1" t="s">
        <v>267</v>
      </c>
      <c r="B384" s="1" t="s">
        <v>936</v>
      </c>
      <c r="C384" s="1" t="n">
        <v>12</v>
      </c>
      <c r="E384" s="46" t="s">
        <v>1143</v>
      </c>
      <c r="F384" s="1" t="s">
        <v>1042</v>
      </c>
      <c r="G384" s="1" t="s">
        <v>1043</v>
      </c>
      <c r="H384" s="1" t="s">
        <v>1044</v>
      </c>
      <c r="I384" s="1" t="s">
        <v>1045</v>
      </c>
      <c r="J384" s="46" t="s">
        <v>1144</v>
      </c>
      <c r="K384" s="1" t="n">
        <f aca="false">IF(Search!$D$5="",0,IF(AND(OR(Search!$N$5="",ISNUMBER(SEARCH(Search!$N$5,J384))),OR(Search!$N$6="",ISNUMBER(SEARCH(Search!$N$6,J384))),OR(Search!$N$7="",ISNUMBER(SEARCH(Search!$N$7,J384))),OR(Search!$N$8="",ISNUMBER(SEARCH(Search!$N$8,J384)))),1,0))</f>
        <v>0</v>
      </c>
      <c r="L384" s="1" t="n">
        <f aca="false">L383+K384</f>
        <v>0</v>
      </c>
    </row>
    <row r="385" customFormat="false" ht="15" hidden="false" customHeight="true" outlineLevel="0" collapsed="false">
      <c r="A385" s="1" t="s">
        <v>267</v>
      </c>
      <c r="B385" s="1" t="s">
        <v>936</v>
      </c>
      <c r="C385" s="1" t="n">
        <v>13</v>
      </c>
      <c r="E385" s="1" t="s">
        <v>1145</v>
      </c>
      <c r="F385" s="1" t="s">
        <v>1048</v>
      </c>
      <c r="G385" s="1" t="s">
        <v>1048</v>
      </c>
      <c r="H385" s="1" t="s">
        <v>1048</v>
      </c>
      <c r="I385" s="1" t="s">
        <v>1048</v>
      </c>
      <c r="J385" s="1" t="s">
        <v>1146</v>
      </c>
      <c r="K385" s="1" t="n">
        <f aca="false">IF(Search!$D$5="",0,IF(AND(OR(Search!$N$5="",ISNUMBER(SEARCH(Search!$N$5,J385))),OR(Search!$N$6="",ISNUMBER(SEARCH(Search!$N$6,J385))),OR(Search!$N$7="",ISNUMBER(SEARCH(Search!$N$7,J385))),OR(Search!$N$8="",ISNUMBER(SEARCH(Search!$N$8,J385)))),1,0))</f>
        <v>0</v>
      </c>
      <c r="L385" s="1" t="n">
        <f aca="false">L384+K385</f>
        <v>0</v>
      </c>
    </row>
    <row r="386" customFormat="false" ht="15" hidden="false" customHeight="true" outlineLevel="0" collapsed="false">
      <c r="A386" s="1" t="s">
        <v>267</v>
      </c>
      <c r="B386" s="1" t="s">
        <v>936</v>
      </c>
      <c r="C386" s="1" t="n">
        <v>14</v>
      </c>
      <c r="E386" s="1" t="s">
        <v>1047</v>
      </c>
      <c r="F386" s="1" t="s">
        <v>1048</v>
      </c>
      <c r="G386" s="1" t="s">
        <v>1048</v>
      </c>
      <c r="H386" s="1" t="s">
        <v>1048</v>
      </c>
      <c r="I386" s="1" t="s">
        <v>1048</v>
      </c>
      <c r="J386" s="1" t="s">
        <v>1049</v>
      </c>
      <c r="K386" s="1" t="n">
        <f aca="false">IF(Search!$D$5="",0,IF(AND(OR(Search!$N$5="",ISNUMBER(SEARCH(Search!$N$5,J386))),OR(Search!$N$6="",ISNUMBER(SEARCH(Search!$N$6,J386))),OR(Search!$N$7="",ISNUMBER(SEARCH(Search!$N$7,J386))),OR(Search!$N$8="",ISNUMBER(SEARCH(Search!$N$8,J386)))),1,0))</f>
        <v>0</v>
      </c>
      <c r="L386" s="1" t="n">
        <f aca="false">L385+K386</f>
        <v>0</v>
      </c>
    </row>
    <row r="387" customFormat="false" ht="15" hidden="false" customHeight="true" outlineLevel="0" collapsed="false">
      <c r="A387" s="1" t="s">
        <v>267</v>
      </c>
      <c r="B387" s="1" t="s">
        <v>936</v>
      </c>
      <c r="C387" s="1" t="n">
        <v>15</v>
      </c>
      <c r="E387" s="1" t="s">
        <v>1050</v>
      </c>
      <c r="F387" s="1" t="s">
        <v>1048</v>
      </c>
      <c r="G387" s="1" t="s">
        <v>1048</v>
      </c>
      <c r="H387" s="1" t="s">
        <v>1048</v>
      </c>
      <c r="I387" s="1" t="s">
        <v>1048</v>
      </c>
      <c r="J387" s="1" t="s">
        <v>1147</v>
      </c>
      <c r="K387" s="1" t="n">
        <f aca="false">IF(Search!$D$5="",0,IF(AND(OR(Search!$N$5="",ISNUMBER(SEARCH(Search!$N$5,J387))),OR(Search!$N$6="",ISNUMBER(SEARCH(Search!$N$6,J387))),OR(Search!$N$7="",ISNUMBER(SEARCH(Search!$N$7,J387))),OR(Search!$N$8="",ISNUMBER(SEARCH(Search!$N$8,J387)))),1,0))</f>
        <v>0</v>
      </c>
      <c r="L387" s="1" t="n">
        <f aca="false">L386+K387</f>
        <v>0</v>
      </c>
    </row>
    <row r="388" customFormat="false" ht="15" hidden="false" customHeight="true" outlineLevel="0" collapsed="false">
      <c r="A388" s="1" t="s">
        <v>267</v>
      </c>
      <c r="B388" s="1" t="s">
        <v>936</v>
      </c>
      <c r="C388" s="1" t="n">
        <v>16</v>
      </c>
      <c r="E388" s="1" t="s">
        <v>1148</v>
      </c>
      <c r="F388" s="1" t="s">
        <v>1048</v>
      </c>
      <c r="G388" s="1" t="s">
        <v>1048</v>
      </c>
      <c r="H388" s="1" t="s">
        <v>1048</v>
      </c>
      <c r="I388" s="1" t="s">
        <v>1048</v>
      </c>
      <c r="J388" s="1" t="s">
        <v>1149</v>
      </c>
      <c r="K388" s="1" t="n">
        <f aca="false">IF(Search!$D$5="",0,IF(AND(OR(Search!$N$5="",ISNUMBER(SEARCH(Search!$N$5,J388))),OR(Search!$N$6="",ISNUMBER(SEARCH(Search!$N$6,J388))),OR(Search!$N$7="",ISNUMBER(SEARCH(Search!$N$7,J388))),OR(Search!$N$8="",ISNUMBER(SEARCH(Search!$N$8,J388)))),1,0))</f>
        <v>0</v>
      </c>
      <c r="L388" s="1" t="n">
        <f aca="false">L387+K388</f>
        <v>0</v>
      </c>
    </row>
    <row r="389" customFormat="false" ht="15" hidden="false" customHeight="true" outlineLevel="0" collapsed="false">
      <c r="A389" s="1" t="s">
        <v>267</v>
      </c>
      <c r="B389" s="1" t="s">
        <v>936</v>
      </c>
      <c r="C389" s="1" t="n">
        <v>17</v>
      </c>
      <c r="E389" s="1" t="s">
        <v>1052</v>
      </c>
      <c r="F389" s="1" t="s">
        <v>1048</v>
      </c>
      <c r="G389" s="1" t="s">
        <v>1048</v>
      </c>
      <c r="H389" s="1" t="s">
        <v>1048</v>
      </c>
      <c r="I389" s="1" t="s">
        <v>1048</v>
      </c>
      <c r="J389" s="1" t="s">
        <v>1053</v>
      </c>
      <c r="K389" s="1" t="n">
        <f aca="false">IF(Search!$D$5="",0,IF(AND(OR(Search!$N$5="",ISNUMBER(SEARCH(Search!$N$5,J389))),OR(Search!$N$6="",ISNUMBER(SEARCH(Search!$N$6,J389))),OR(Search!$N$7="",ISNUMBER(SEARCH(Search!$N$7,J389))),OR(Search!$N$8="",ISNUMBER(SEARCH(Search!$N$8,J389)))),1,0))</f>
        <v>0</v>
      </c>
      <c r="L389" s="1" t="n">
        <f aca="false">L388+K389</f>
        <v>0</v>
      </c>
    </row>
    <row r="390" customFormat="false" ht="15" hidden="false" customHeight="true" outlineLevel="0" collapsed="false">
      <c r="A390" s="1" t="s">
        <v>267</v>
      </c>
      <c r="B390" s="1" t="s">
        <v>936</v>
      </c>
      <c r="C390" s="1" t="n">
        <v>18</v>
      </c>
      <c r="E390" s="1" t="s">
        <v>1054</v>
      </c>
      <c r="F390" s="1" t="s">
        <v>1048</v>
      </c>
      <c r="G390" s="1" t="s">
        <v>1048</v>
      </c>
      <c r="H390" s="1" t="s">
        <v>1048</v>
      </c>
      <c r="I390" s="1" t="s">
        <v>1048</v>
      </c>
      <c r="J390" s="1" t="s">
        <v>1055</v>
      </c>
      <c r="K390" s="1" t="n">
        <f aca="false">IF(Search!$D$5="",0,IF(AND(OR(Search!$N$5="",ISNUMBER(SEARCH(Search!$N$5,J390))),OR(Search!$N$6="",ISNUMBER(SEARCH(Search!$N$6,J390))),OR(Search!$N$7="",ISNUMBER(SEARCH(Search!$N$7,J390))),OR(Search!$N$8="",ISNUMBER(SEARCH(Search!$N$8,J390)))),1,0))</f>
        <v>0</v>
      </c>
      <c r="L390" s="1" t="n">
        <f aca="false">L389+K390</f>
        <v>0</v>
      </c>
    </row>
    <row r="391" customFormat="false" ht="15" hidden="false" customHeight="true" outlineLevel="0" collapsed="false">
      <c r="A391" s="1" t="s">
        <v>267</v>
      </c>
      <c r="B391" s="1" t="s">
        <v>936</v>
      </c>
      <c r="C391" s="1" t="n">
        <v>19</v>
      </c>
      <c r="E391" s="1" t="s">
        <v>1150</v>
      </c>
      <c r="F391" s="1" t="s">
        <v>1048</v>
      </c>
      <c r="G391" s="1" t="s">
        <v>1048</v>
      </c>
      <c r="H391" s="1" t="s">
        <v>1048</v>
      </c>
      <c r="I391" s="1" t="s">
        <v>1048</v>
      </c>
      <c r="J391" s="1" t="s">
        <v>1151</v>
      </c>
      <c r="K391" s="1" t="n">
        <f aca="false">IF(Search!$D$5="",0,IF(AND(OR(Search!$N$5="",ISNUMBER(SEARCH(Search!$N$5,J391))),OR(Search!$N$6="",ISNUMBER(SEARCH(Search!$N$6,J391))),OR(Search!$N$7="",ISNUMBER(SEARCH(Search!$N$7,J391))),OR(Search!$N$8="",ISNUMBER(SEARCH(Search!$N$8,J391)))),1,0))</f>
        <v>0</v>
      </c>
      <c r="L391" s="1" t="n">
        <f aca="false">L390+K391</f>
        <v>0</v>
      </c>
    </row>
    <row r="392" customFormat="false" ht="15" hidden="false" customHeight="true" outlineLevel="0" collapsed="false">
      <c r="A392" s="1" t="s">
        <v>267</v>
      </c>
      <c r="B392" s="1" t="s">
        <v>936</v>
      </c>
      <c r="C392" s="1" t="n">
        <v>20</v>
      </c>
      <c r="E392" s="1" t="s">
        <v>1152</v>
      </c>
      <c r="F392" s="1" t="s">
        <v>1048</v>
      </c>
      <c r="G392" s="1" t="s">
        <v>1048</v>
      </c>
      <c r="H392" s="1" t="s">
        <v>1048</v>
      </c>
      <c r="I392" s="1" t="s">
        <v>1048</v>
      </c>
      <c r="J392" s="1" t="s">
        <v>1153</v>
      </c>
      <c r="K392" s="1" t="n">
        <f aca="false">IF(Search!$D$5="",0,IF(AND(OR(Search!$N$5="",ISNUMBER(SEARCH(Search!$N$5,J392))),OR(Search!$N$6="",ISNUMBER(SEARCH(Search!$N$6,J392))),OR(Search!$N$7="",ISNUMBER(SEARCH(Search!$N$7,J392))),OR(Search!$N$8="",ISNUMBER(SEARCH(Search!$N$8,J392)))),1,0))</f>
        <v>0</v>
      </c>
      <c r="L392" s="1" t="n">
        <f aca="false">L391+K392</f>
        <v>0</v>
      </c>
    </row>
    <row r="393" customFormat="false" ht="15" hidden="false" customHeight="true" outlineLevel="0" collapsed="false">
      <c r="A393" s="1" t="s">
        <v>267</v>
      </c>
      <c r="B393" s="1" t="s">
        <v>936</v>
      </c>
      <c r="C393" s="1" t="n">
        <v>21</v>
      </c>
      <c r="E393" s="1" t="s">
        <v>1154</v>
      </c>
      <c r="F393" s="1" t="s">
        <v>1048</v>
      </c>
      <c r="G393" s="1" t="s">
        <v>1048</v>
      </c>
      <c r="H393" s="1" t="s">
        <v>1048</v>
      </c>
      <c r="I393" s="1" t="s">
        <v>1048</v>
      </c>
      <c r="J393" s="1" t="s">
        <v>1155</v>
      </c>
      <c r="K393" s="1" t="n">
        <f aca="false">IF(Search!$D$5="",0,IF(AND(OR(Search!$N$5="",ISNUMBER(SEARCH(Search!$N$5,J393))),OR(Search!$N$6="",ISNUMBER(SEARCH(Search!$N$6,J393))),OR(Search!$N$7="",ISNUMBER(SEARCH(Search!$N$7,J393))),OR(Search!$N$8="",ISNUMBER(SEARCH(Search!$N$8,J393)))),1,0))</f>
        <v>0</v>
      </c>
      <c r="L393" s="1" t="n">
        <f aca="false">L392+K393</f>
        <v>0</v>
      </c>
    </row>
    <row r="394" customFormat="false" ht="15" hidden="false" customHeight="true" outlineLevel="0" collapsed="false">
      <c r="A394" s="1" t="s">
        <v>267</v>
      </c>
      <c r="B394" s="1" t="s">
        <v>936</v>
      </c>
      <c r="C394" s="1" t="n">
        <v>22</v>
      </c>
      <c r="E394" s="1" t="s">
        <v>1056</v>
      </c>
      <c r="F394" s="1" t="s">
        <v>1048</v>
      </c>
      <c r="G394" s="1" t="s">
        <v>1048</v>
      </c>
      <c r="H394" s="1" t="s">
        <v>1048</v>
      </c>
      <c r="I394" s="1" t="s">
        <v>1048</v>
      </c>
      <c r="J394" s="1" t="s">
        <v>1057</v>
      </c>
      <c r="K394" s="1" t="n">
        <f aca="false">IF(Search!$D$5="",0,IF(AND(OR(Search!$N$5="",ISNUMBER(SEARCH(Search!$N$5,J394))),OR(Search!$N$6="",ISNUMBER(SEARCH(Search!$N$6,J394))),OR(Search!$N$7="",ISNUMBER(SEARCH(Search!$N$7,J394))),OR(Search!$N$8="",ISNUMBER(SEARCH(Search!$N$8,J394)))),1,0))</f>
        <v>0</v>
      </c>
      <c r="L394" s="1" t="n">
        <f aca="false">L393+K394</f>
        <v>0</v>
      </c>
    </row>
    <row r="395" customFormat="false" ht="15" hidden="false" customHeight="true" outlineLevel="0" collapsed="false">
      <c r="A395" s="1" t="s">
        <v>267</v>
      </c>
      <c r="B395" s="1" t="s">
        <v>936</v>
      </c>
      <c r="C395" s="1" t="n">
        <v>23</v>
      </c>
      <c r="E395" s="1" t="s">
        <v>1058</v>
      </c>
      <c r="F395" s="1" t="s">
        <v>1048</v>
      </c>
      <c r="G395" s="1" t="s">
        <v>1048</v>
      </c>
      <c r="H395" s="1" t="s">
        <v>1048</v>
      </c>
      <c r="I395" s="1" t="s">
        <v>1048</v>
      </c>
      <c r="J395" s="1" t="s">
        <v>1156</v>
      </c>
      <c r="K395" s="1" t="n">
        <f aca="false">IF(Search!$D$5="",0,IF(AND(OR(Search!$N$5="",ISNUMBER(SEARCH(Search!$N$5,J395))),OR(Search!$N$6="",ISNUMBER(SEARCH(Search!$N$6,J395))),OR(Search!$N$7="",ISNUMBER(SEARCH(Search!$N$7,J395))),OR(Search!$N$8="",ISNUMBER(SEARCH(Search!$N$8,J395)))),1,0))</f>
        <v>0</v>
      </c>
      <c r="L395" s="1" t="n">
        <f aca="false">L394+K395</f>
        <v>0</v>
      </c>
    </row>
    <row r="396" customFormat="false" ht="15" hidden="false" customHeight="true" outlineLevel="0" collapsed="false">
      <c r="A396" s="1" t="s">
        <v>267</v>
      </c>
      <c r="B396" s="1" t="s">
        <v>936</v>
      </c>
      <c r="C396" s="1" t="n">
        <v>24</v>
      </c>
      <c r="E396" s="1" t="s">
        <v>1157</v>
      </c>
      <c r="F396" s="1" t="s">
        <v>1048</v>
      </c>
      <c r="G396" s="1" t="s">
        <v>1048</v>
      </c>
      <c r="H396" s="1" t="s">
        <v>1048</v>
      </c>
      <c r="I396" s="1" t="s">
        <v>1048</v>
      </c>
      <c r="J396" s="1" t="s">
        <v>1158</v>
      </c>
      <c r="K396" s="1" t="n">
        <f aca="false">IF(Search!$D$5="",0,IF(AND(OR(Search!$N$5="",ISNUMBER(SEARCH(Search!$N$5,J396))),OR(Search!$N$6="",ISNUMBER(SEARCH(Search!$N$6,J396))),OR(Search!$N$7="",ISNUMBER(SEARCH(Search!$N$7,J396))),OR(Search!$N$8="",ISNUMBER(SEARCH(Search!$N$8,J396)))),1,0))</f>
        <v>0</v>
      </c>
      <c r="L396" s="1" t="n">
        <f aca="false">L395+K396</f>
        <v>0</v>
      </c>
    </row>
    <row r="397" customFormat="false" ht="15" hidden="false" customHeight="true" outlineLevel="0" collapsed="false">
      <c r="A397" s="1" t="s">
        <v>267</v>
      </c>
      <c r="B397" s="1" t="s">
        <v>936</v>
      </c>
      <c r="C397" s="1" t="n">
        <v>25</v>
      </c>
      <c r="E397" s="1" t="s">
        <v>1159</v>
      </c>
      <c r="F397" s="1" t="s">
        <v>1048</v>
      </c>
      <c r="G397" s="1" t="s">
        <v>1048</v>
      </c>
      <c r="H397" s="1" t="s">
        <v>1048</v>
      </c>
      <c r="I397" s="1" t="s">
        <v>1048</v>
      </c>
      <c r="J397" s="1" t="s">
        <v>1160</v>
      </c>
      <c r="K397" s="1" t="n">
        <f aca="false">IF(Search!$D$5="",0,IF(AND(OR(Search!$N$5="",ISNUMBER(SEARCH(Search!$N$5,J397))),OR(Search!$N$6="",ISNUMBER(SEARCH(Search!$N$6,J397))),OR(Search!$N$7="",ISNUMBER(SEARCH(Search!$N$7,J397))),OR(Search!$N$8="",ISNUMBER(SEARCH(Search!$N$8,J397)))),1,0))</f>
        <v>0</v>
      </c>
      <c r="L397" s="1" t="n">
        <f aca="false">L396+K397</f>
        <v>0</v>
      </c>
    </row>
    <row r="398" customFormat="false" ht="15" hidden="false" customHeight="true" outlineLevel="0" collapsed="false">
      <c r="A398" s="1" t="s">
        <v>267</v>
      </c>
      <c r="B398" s="1" t="s">
        <v>936</v>
      </c>
      <c r="C398" s="1" t="n">
        <v>26</v>
      </c>
      <c r="E398" s="1" t="s">
        <v>1060</v>
      </c>
      <c r="F398" s="1" t="s">
        <v>1048</v>
      </c>
      <c r="G398" s="1" t="s">
        <v>1048</v>
      </c>
      <c r="H398" s="1" t="s">
        <v>1048</v>
      </c>
      <c r="I398" s="1" t="s">
        <v>1048</v>
      </c>
      <c r="J398" s="1" t="s">
        <v>1161</v>
      </c>
      <c r="K398" s="1" t="n">
        <f aca="false">IF(Search!$D$5="",0,IF(AND(OR(Search!$N$5="",ISNUMBER(SEARCH(Search!$N$5,J398))),OR(Search!$N$6="",ISNUMBER(SEARCH(Search!$N$6,J398))),OR(Search!$N$7="",ISNUMBER(SEARCH(Search!$N$7,J398))),OR(Search!$N$8="",ISNUMBER(SEARCH(Search!$N$8,J398)))),1,0))</f>
        <v>0</v>
      </c>
      <c r="L398" s="1" t="n">
        <f aca="false">L397+K398</f>
        <v>0</v>
      </c>
    </row>
    <row r="399" customFormat="false" ht="15" hidden="false" customHeight="true" outlineLevel="0" collapsed="false">
      <c r="A399" s="1" t="s">
        <v>267</v>
      </c>
      <c r="B399" s="1" t="s">
        <v>936</v>
      </c>
      <c r="C399" s="1" t="n">
        <v>27</v>
      </c>
      <c r="E399" s="1" t="s">
        <v>1061</v>
      </c>
      <c r="G399" s="1" t="s">
        <v>1048</v>
      </c>
      <c r="H399" s="1" t="s">
        <v>1048</v>
      </c>
      <c r="I399" s="1" t="s">
        <v>1048</v>
      </c>
      <c r="J399" s="1" t="s">
        <v>1162</v>
      </c>
      <c r="K399" s="1" t="n">
        <f aca="false">IF(Search!$D$5="",0,IF(AND(OR(Search!$N$5="",ISNUMBER(SEARCH(Search!$N$5,J399))),OR(Search!$N$6="",ISNUMBER(SEARCH(Search!$N$6,J399))),OR(Search!$N$7="",ISNUMBER(SEARCH(Search!$N$7,J399))),OR(Search!$N$8="",ISNUMBER(SEARCH(Search!$N$8,J399)))),1,0))</f>
        <v>0</v>
      </c>
      <c r="L399" s="1" t="n">
        <f aca="false">L398+K399</f>
        <v>0</v>
      </c>
    </row>
    <row r="400" customFormat="false" ht="15" hidden="false" customHeight="true" outlineLevel="0" collapsed="false">
      <c r="A400" s="1" t="s">
        <v>267</v>
      </c>
      <c r="B400" s="1" t="s">
        <v>936</v>
      </c>
      <c r="C400" s="1" t="n">
        <v>28</v>
      </c>
      <c r="E400" s="1" t="s">
        <v>1063</v>
      </c>
      <c r="F400" s="1" t="s">
        <v>1048</v>
      </c>
      <c r="H400" s="1" t="s">
        <v>1048</v>
      </c>
      <c r="I400" s="1" t="s">
        <v>1048</v>
      </c>
      <c r="J400" s="1" t="s">
        <v>1163</v>
      </c>
      <c r="K400" s="1" t="n">
        <f aca="false">IF(Search!$D$5="",0,IF(AND(OR(Search!$N$5="",ISNUMBER(SEARCH(Search!$N$5,J400))),OR(Search!$N$6="",ISNUMBER(SEARCH(Search!$N$6,J400))),OR(Search!$N$7="",ISNUMBER(SEARCH(Search!$N$7,J400))),OR(Search!$N$8="",ISNUMBER(SEARCH(Search!$N$8,J400)))),1,0))</f>
        <v>0</v>
      </c>
      <c r="L400" s="1" t="n">
        <f aca="false">L399+K400</f>
        <v>0</v>
      </c>
    </row>
    <row r="401" customFormat="false" ht="15" hidden="false" customHeight="true" outlineLevel="0" collapsed="false">
      <c r="A401" s="1" t="s">
        <v>267</v>
      </c>
      <c r="B401" s="1" t="s">
        <v>936</v>
      </c>
      <c r="C401" s="1" t="n">
        <v>29</v>
      </c>
      <c r="E401" s="1" t="s">
        <v>1164</v>
      </c>
      <c r="G401" s="1" t="s">
        <v>1048</v>
      </c>
      <c r="H401" s="1" t="s">
        <v>1048</v>
      </c>
      <c r="I401" s="1" t="s">
        <v>1048</v>
      </c>
      <c r="J401" s="1" t="s">
        <v>1165</v>
      </c>
      <c r="K401" s="1" t="n">
        <f aca="false">IF(Search!$D$5="",0,IF(AND(OR(Search!$N$5="",ISNUMBER(SEARCH(Search!$N$5,J401))),OR(Search!$N$6="",ISNUMBER(SEARCH(Search!$N$6,J401))),OR(Search!$N$7="",ISNUMBER(SEARCH(Search!$N$7,J401))),OR(Search!$N$8="",ISNUMBER(SEARCH(Search!$N$8,J401)))),1,0))</f>
        <v>0</v>
      </c>
      <c r="L401" s="1" t="n">
        <f aca="false">L400+K401</f>
        <v>0</v>
      </c>
    </row>
    <row r="402" customFormat="false" ht="15" hidden="false" customHeight="true" outlineLevel="0" collapsed="false">
      <c r="A402" s="1" t="s">
        <v>267</v>
      </c>
      <c r="B402" s="1" t="s">
        <v>936</v>
      </c>
      <c r="C402" s="1" t="n">
        <v>30</v>
      </c>
      <c r="E402" s="1" t="s">
        <v>1166</v>
      </c>
      <c r="G402" s="1" t="s">
        <v>1048</v>
      </c>
      <c r="H402" s="1" t="s">
        <v>1048</v>
      </c>
      <c r="I402" s="1" t="s">
        <v>1048</v>
      </c>
      <c r="J402" s="1" t="s">
        <v>1167</v>
      </c>
      <c r="K402" s="1" t="n">
        <f aca="false">IF(Search!$D$5="",0,IF(AND(OR(Search!$N$5="",ISNUMBER(SEARCH(Search!$N$5,J402))),OR(Search!$N$6="",ISNUMBER(SEARCH(Search!$N$6,J402))),OR(Search!$N$7="",ISNUMBER(SEARCH(Search!$N$7,J402))),OR(Search!$N$8="",ISNUMBER(SEARCH(Search!$N$8,J402)))),1,0))</f>
        <v>0</v>
      </c>
      <c r="L402" s="1" t="n">
        <f aca="false">L401+K402</f>
        <v>0</v>
      </c>
    </row>
    <row r="403" customFormat="false" ht="15" hidden="false" customHeight="true" outlineLevel="0" collapsed="false">
      <c r="A403" s="1" t="s">
        <v>267</v>
      </c>
      <c r="B403" s="1" t="s">
        <v>936</v>
      </c>
      <c r="C403" s="1" t="n">
        <v>31</v>
      </c>
      <c r="E403" s="1" t="s">
        <v>1168</v>
      </c>
      <c r="G403" s="1" t="s">
        <v>1048</v>
      </c>
      <c r="I403" s="1" t="s">
        <v>1048</v>
      </c>
      <c r="J403" s="1" t="s">
        <v>1169</v>
      </c>
      <c r="K403" s="1" t="n">
        <f aca="false">IF(Search!$D$5="",0,IF(AND(OR(Search!$N$5="",ISNUMBER(SEARCH(Search!$N$5,J403))),OR(Search!$N$6="",ISNUMBER(SEARCH(Search!$N$6,J403))),OR(Search!$N$7="",ISNUMBER(SEARCH(Search!$N$7,J403))),OR(Search!$N$8="",ISNUMBER(SEARCH(Search!$N$8,J403)))),1,0))</f>
        <v>0</v>
      </c>
      <c r="L403" s="1" t="n">
        <f aca="false">L402+K403</f>
        <v>0</v>
      </c>
    </row>
    <row r="404" customFormat="false" ht="15" hidden="false" customHeight="true" outlineLevel="0" collapsed="false">
      <c r="A404" s="1" t="s">
        <v>267</v>
      </c>
      <c r="B404" s="1" t="s">
        <v>936</v>
      </c>
      <c r="C404" s="1" t="n">
        <v>32</v>
      </c>
      <c r="E404" s="1" t="s">
        <v>1170</v>
      </c>
      <c r="G404" s="1" t="s">
        <v>1048</v>
      </c>
      <c r="H404" s="1" t="s">
        <v>1048</v>
      </c>
      <c r="I404" s="1" t="s">
        <v>1048</v>
      </c>
      <c r="J404" s="1" t="s">
        <v>1171</v>
      </c>
      <c r="K404" s="1" t="n">
        <f aca="false">IF(Search!$D$5="",0,IF(AND(OR(Search!$N$5="",ISNUMBER(SEARCH(Search!$N$5,J404))),OR(Search!$N$6="",ISNUMBER(SEARCH(Search!$N$6,J404))),OR(Search!$N$7="",ISNUMBER(SEARCH(Search!$N$7,J404))),OR(Search!$N$8="",ISNUMBER(SEARCH(Search!$N$8,J404)))),1,0))</f>
        <v>0</v>
      </c>
      <c r="L404" s="1" t="n">
        <f aca="false">L403+K404</f>
        <v>0</v>
      </c>
    </row>
    <row r="405" customFormat="false" ht="15" hidden="false" customHeight="true" outlineLevel="0" collapsed="false">
      <c r="A405" s="1" t="s">
        <v>267</v>
      </c>
      <c r="B405" s="1" t="s">
        <v>936</v>
      </c>
      <c r="C405" s="1" t="n">
        <v>33</v>
      </c>
      <c r="E405" s="1" t="s">
        <v>1172</v>
      </c>
      <c r="G405" s="1" t="s">
        <v>1048</v>
      </c>
      <c r="H405" s="1" t="s">
        <v>1048</v>
      </c>
      <c r="I405" s="1" t="s">
        <v>1048</v>
      </c>
      <c r="J405" s="1" t="s">
        <v>1173</v>
      </c>
      <c r="K405" s="1" t="n">
        <f aca="false">IF(Search!$D$5="",0,IF(AND(OR(Search!$N$5="",ISNUMBER(SEARCH(Search!$N$5,J405))),OR(Search!$N$6="",ISNUMBER(SEARCH(Search!$N$6,J405))),OR(Search!$N$7="",ISNUMBER(SEARCH(Search!$N$7,J405))),OR(Search!$N$8="",ISNUMBER(SEARCH(Search!$N$8,J405)))),1,0))</f>
        <v>0</v>
      </c>
      <c r="L405" s="1" t="n">
        <f aca="false">L404+K405</f>
        <v>0</v>
      </c>
    </row>
    <row r="406" customFormat="false" ht="15" hidden="false" customHeight="true" outlineLevel="0" collapsed="false">
      <c r="A406" s="1" t="s">
        <v>267</v>
      </c>
      <c r="B406" s="1" t="s">
        <v>936</v>
      </c>
      <c r="C406" s="1" t="n">
        <v>34</v>
      </c>
      <c r="E406" s="1" t="s">
        <v>1065</v>
      </c>
      <c r="H406" s="1" t="s">
        <v>1048</v>
      </c>
      <c r="I406" s="1" t="s">
        <v>1048</v>
      </c>
      <c r="J406" s="1" t="s">
        <v>1066</v>
      </c>
      <c r="K406" s="1" t="n">
        <f aca="false">IF(Search!$D$5="",0,IF(AND(OR(Search!$N$5="",ISNUMBER(SEARCH(Search!$N$5,J406))),OR(Search!$N$6="",ISNUMBER(SEARCH(Search!$N$6,J406))),OR(Search!$N$7="",ISNUMBER(SEARCH(Search!$N$7,J406))),OR(Search!$N$8="",ISNUMBER(SEARCH(Search!$N$8,J406)))),1,0))</f>
        <v>0</v>
      </c>
      <c r="L406" s="1" t="n">
        <f aca="false">L405+K406</f>
        <v>0</v>
      </c>
    </row>
    <row r="407" customFormat="false" ht="15" hidden="false" customHeight="true" outlineLevel="0" collapsed="false">
      <c r="A407" s="1" t="s">
        <v>267</v>
      </c>
      <c r="B407" s="1" t="s">
        <v>936</v>
      </c>
      <c r="C407" s="1" t="n">
        <v>35</v>
      </c>
      <c r="E407" s="1" t="s">
        <v>1067</v>
      </c>
      <c r="I407" s="1" t="s">
        <v>1048</v>
      </c>
      <c r="J407" s="1" t="s">
        <v>1174</v>
      </c>
      <c r="K407" s="1" t="n">
        <f aca="false">IF(Search!$D$5="",0,IF(AND(OR(Search!$N$5="",ISNUMBER(SEARCH(Search!$N$5,J407))),OR(Search!$N$6="",ISNUMBER(SEARCH(Search!$N$6,J407))),OR(Search!$N$7="",ISNUMBER(SEARCH(Search!$N$7,J407))),OR(Search!$N$8="",ISNUMBER(SEARCH(Search!$N$8,J407)))),1,0))</f>
        <v>0</v>
      </c>
      <c r="L407" s="1" t="n">
        <f aca="false">L406+K407</f>
        <v>0</v>
      </c>
    </row>
    <row r="408" customFormat="false" ht="15" hidden="false" customHeight="true" outlineLevel="0" collapsed="false">
      <c r="A408" s="1" t="s">
        <v>267</v>
      </c>
      <c r="B408" s="1" t="s">
        <v>936</v>
      </c>
      <c r="C408" s="1" t="n">
        <v>36</v>
      </c>
      <c r="E408" s="1" t="s">
        <v>1175</v>
      </c>
      <c r="I408" s="1" t="s">
        <v>1048</v>
      </c>
      <c r="J408" s="1" t="s">
        <v>1176</v>
      </c>
      <c r="K408" s="1" t="n">
        <f aca="false">IF(Search!$D$5="",0,IF(AND(OR(Search!$N$5="",ISNUMBER(SEARCH(Search!$N$5,J408))),OR(Search!$N$6="",ISNUMBER(SEARCH(Search!$N$6,J408))),OR(Search!$N$7="",ISNUMBER(SEARCH(Search!$N$7,J408))),OR(Search!$N$8="",ISNUMBER(SEARCH(Search!$N$8,J408)))),1,0))</f>
        <v>0</v>
      </c>
      <c r="L408" s="1" t="n">
        <f aca="false">L407+K408</f>
        <v>0</v>
      </c>
    </row>
    <row r="409" customFormat="false" ht="15" hidden="false" customHeight="true" outlineLevel="0" collapsed="false">
      <c r="A409" s="1" t="s">
        <v>267</v>
      </c>
      <c r="B409" s="1" t="s">
        <v>936</v>
      </c>
      <c r="C409" s="1" t="n">
        <v>37</v>
      </c>
      <c r="E409" s="1" t="s">
        <v>1177</v>
      </c>
      <c r="I409" s="1" t="s">
        <v>1048</v>
      </c>
      <c r="J409" s="1" t="s">
        <v>1178</v>
      </c>
      <c r="K409" s="1" t="n">
        <f aca="false">IF(Search!$D$5="",0,IF(AND(OR(Search!$N$5="",ISNUMBER(SEARCH(Search!$N$5,J409))),OR(Search!$N$6="",ISNUMBER(SEARCH(Search!$N$6,J409))),OR(Search!$N$7="",ISNUMBER(SEARCH(Search!$N$7,J409))),OR(Search!$N$8="",ISNUMBER(SEARCH(Search!$N$8,J409)))),1,0))</f>
        <v>0</v>
      </c>
      <c r="L409" s="1" t="n">
        <f aca="false">L408+K409</f>
        <v>0</v>
      </c>
    </row>
    <row r="410" customFormat="false" ht="15" hidden="false" customHeight="true" outlineLevel="0" collapsed="false">
      <c r="A410" s="1" t="s">
        <v>267</v>
      </c>
      <c r="B410" s="1" t="s">
        <v>936</v>
      </c>
      <c r="C410" s="1" t="n">
        <v>38</v>
      </c>
      <c r="E410" s="1" t="s">
        <v>1179</v>
      </c>
      <c r="I410" s="1" t="s">
        <v>1048</v>
      </c>
      <c r="J410" s="1" t="s">
        <v>1180</v>
      </c>
      <c r="K410" s="1" t="n">
        <f aca="false">IF(Search!$D$5="",0,IF(AND(OR(Search!$N$5="",ISNUMBER(SEARCH(Search!$N$5,J410))),OR(Search!$N$6="",ISNUMBER(SEARCH(Search!$N$6,J410))),OR(Search!$N$7="",ISNUMBER(SEARCH(Search!$N$7,J410))),OR(Search!$N$8="",ISNUMBER(SEARCH(Search!$N$8,J410)))),1,0))</f>
        <v>0</v>
      </c>
      <c r="L410" s="1" t="n">
        <f aca="false">L409+K410</f>
        <v>0</v>
      </c>
    </row>
    <row r="411" customFormat="false" ht="15" hidden="false" customHeight="true" outlineLevel="0" collapsed="false">
      <c r="A411" s="1" t="s">
        <v>267</v>
      </c>
      <c r="B411" s="1" t="s">
        <v>936</v>
      </c>
      <c r="C411" s="1" t="n">
        <v>39</v>
      </c>
      <c r="E411" s="1" t="s">
        <v>1181</v>
      </c>
      <c r="I411" s="1" t="s">
        <v>1048</v>
      </c>
      <c r="J411" s="1" t="s">
        <v>1182</v>
      </c>
      <c r="K411" s="1" t="n">
        <f aca="false">IF(Search!$D$5="",0,IF(AND(OR(Search!$N$5="",ISNUMBER(SEARCH(Search!$N$5,J411))),OR(Search!$N$6="",ISNUMBER(SEARCH(Search!$N$6,J411))),OR(Search!$N$7="",ISNUMBER(SEARCH(Search!$N$7,J411))),OR(Search!$N$8="",ISNUMBER(SEARCH(Search!$N$8,J411)))),1,0))</f>
        <v>0</v>
      </c>
      <c r="L411" s="1" t="n">
        <f aca="false">L410+K411</f>
        <v>0</v>
      </c>
    </row>
    <row r="412" customFormat="false" ht="15" hidden="false" customHeight="true" outlineLevel="0" collapsed="false">
      <c r="A412" s="1" t="s">
        <v>267</v>
      </c>
      <c r="B412" s="1" t="s">
        <v>936</v>
      </c>
      <c r="C412" s="1" t="n">
        <v>40</v>
      </c>
      <c r="E412" s="1" t="s">
        <v>1183</v>
      </c>
      <c r="I412" s="1" t="s">
        <v>1048</v>
      </c>
      <c r="J412" s="1" t="s">
        <v>1184</v>
      </c>
      <c r="K412" s="1" t="n">
        <f aca="false">IF(Search!$D$5="",0,IF(AND(OR(Search!$N$5="",ISNUMBER(SEARCH(Search!$N$5,J412))),OR(Search!$N$6="",ISNUMBER(SEARCH(Search!$N$6,J412))),OR(Search!$N$7="",ISNUMBER(SEARCH(Search!$N$7,J412))),OR(Search!$N$8="",ISNUMBER(SEARCH(Search!$N$8,J412)))),1,0))</f>
        <v>0</v>
      </c>
      <c r="L412" s="1" t="n">
        <f aca="false">L411+K412</f>
        <v>0</v>
      </c>
    </row>
    <row r="413" customFormat="false" ht="15" hidden="false" customHeight="true" outlineLevel="0" collapsed="false">
      <c r="A413" s="1" t="s">
        <v>267</v>
      </c>
      <c r="B413" s="1" t="s">
        <v>936</v>
      </c>
      <c r="C413" s="1" t="n">
        <v>41</v>
      </c>
      <c r="E413" s="1" t="s">
        <v>1069</v>
      </c>
      <c r="I413" s="1" t="s">
        <v>1048</v>
      </c>
      <c r="J413" s="1" t="s">
        <v>1185</v>
      </c>
      <c r="K413" s="1" t="n">
        <f aca="false">IF(Search!$D$5="",0,IF(AND(OR(Search!$N$5="",ISNUMBER(SEARCH(Search!$N$5,J413))),OR(Search!$N$6="",ISNUMBER(SEARCH(Search!$N$6,J413))),OR(Search!$N$7="",ISNUMBER(SEARCH(Search!$N$7,J413))),OR(Search!$N$8="",ISNUMBER(SEARCH(Search!$N$8,J413)))),1,0))</f>
        <v>0</v>
      </c>
      <c r="L413" s="1" t="n">
        <f aca="false">L412+K413</f>
        <v>0</v>
      </c>
    </row>
    <row r="414" customFormat="false" ht="15" hidden="false" customHeight="true" outlineLevel="0" collapsed="false">
      <c r="A414" s="1" t="s">
        <v>267</v>
      </c>
      <c r="B414" s="1" t="s">
        <v>936</v>
      </c>
      <c r="C414" s="1" t="n">
        <v>42</v>
      </c>
      <c r="E414" s="1" t="s">
        <v>1071</v>
      </c>
      <c r="I414" s="1" t="s">
        <v>1048</v>
      </c>
      <c r="J414" s="1" t="s">
        <v>1186</v>
      </c>
      <c r="K414" s="1" t="n">
        <f aca="false">IF(Search!$D$5="",0,IF(AND(OR(Search!$N$5="",ISNUMBER(SEARCH(Search!$N$5,J414))),OR(Search!$N$6="",ISNUMBER(SEARCH(Search!$N$6,J414))),OR(Search!$N$7="",ISNUMBER(SEARCH(Search!$N$7,J414))),OR(Search!$N$8="",ISNUMBER(SEARCH(Search!$N$8,J414)))),1,0))</f>
        <v>0</v>
      </c>
      <c r="L414" s="1" t="n">
        <f aca="false">L413+K414</f>
        <v>0</v>
      </c>
    </row>
    <row r="415" customFormat="false" ht="15" hidden="false" customHeight="true" outlineLevel="0" collapsed="false">
      <c r="A415" s="1" t="s">
        <v>267</v>
      </c>
      <c r="B415" s="1" t="s">
        <v>936</v>
      </c>
      <c r="C415" s="1" t="n">
        <v>43</v>
      </c>
      <c r="E415" s="1" t="s">
        <v>1187</v>
      </c>
      <c r="I415" s="1" t="s">
        <v>1048</v>
      </c>
      <c r="J415" s="1" t="s">
        <v>1188</v>
      </c>
      <c r="K415" s="1" t="n">
        <f aca="false">IF(Search!$D$5="",0,IF(AND(OR(Search!$N$5="",ISNUMBER(SEARCH(Search!$N$5,J415))),OR(Search!$N$6="",ISNUMBER(SEARCH(Search!$N$6,J415))),OR(Search!$N$7="",ISNUMBER(SEARCH(Search!$N$7,J415))),OR(Search!$N$8="",ISNUMBER(SEARCH(Search!$N$8,J415)))),1,0))</f>
        <v>0</v>
      </c>
      <c r="L415" s="1" t="n">
        <f aca="false">L414+K415</f>
        <v>0</v>
      </c>
    </row>
    <row r="416" customFormat="false" ht="15" hidden="false" customHeight="true" outlineLevel="0" collapsed="false">
      <c r="A416" s="1" t="s">
        <v>267</v>
      </c>
      <c r="B416" s="1" t="s">
        <v>936</v>
      </c>
      <c r="C416" s="1" t="n">
        <v>44</v>
      </c>
      <c r="E416" s="1" t="s">
        <v>1189</v>
      </c>
      <c r="I416" s="1" t="s">
        <v>1048</v>
      </c>
      <c r="J416" s="1" t="s">
        <v>1190</v>
      </c>
      <c r="K416" s="1" t="n">
        <f aca="false">IF(Search!$D$5="",0,IF(AND(OR(Search!$N$5="",ISNUMBER(SEARCH(Search!$N$5,J416))),OR(Search!$N$6="",ISNUMBER(SEARCH(Search!$N$6,J416))),OR(Search!$N$7="",ISNUMBER(SEARCH(Search!$N$7,J416))),OR(Search!$N$8="",ISNUMBER(SEARCH(Search!$N$8,J416)))),1,0))</f>
        <v>0</v>
      </c>
      <c r="L416" s="1" t="n">
        <f aca="false">L415+K416</f>
        <v>0</v>
      </c>
    </row>
    <row r="417" customFormat="false" ht="15" hidden="false" customHeight="true" outlineLevel="0" collapsed="false">
      <c r="A417" s="1" t="s">
        <v>267</v>
      </c>
      <c r="B417" s="1" t="s">
        <v>936</v>
      </c>
      <c r="C417" s="1" t="n">
        <v>45</v>
      </c>
      <c r="E417" s="1" t="s">
        <v>1191</v>
      </c>
      <c r="I417" s="1" t="s">
        <v>1048</v>
      </c>
      <c r="J417" s="1" t="s">
        <v>1192</v>
      </c>
      <c r="K417" s="1" t="n">
        <f aca="false">IF(Search!$D$5="",0,IF(AND(OR(Search!$N$5="",ISNUMBER(SEARCH(Search!$N$5,J417))),OR(Search!$N$6="",ISNUMBER(SEARCH(Search!$N$6,J417))),OR(Search!$N$7="",ISNUMBER(SEARCH(Search!$N$7,J417))),OR(Search!$N$8="",ISNUMBER(SEARCH(Search!$N$8,J417)))),1,0))</f>
        <v>0</v>
      </c>
      <c r="L417" s="1" t="n">
        <f aca="false">L416+K417</f>
        <v>0</v>
      </c>
    </row>
    <row r="418" customFormat="false" ht="15" hidden="false" customHeight="true" outlineLevel="0" collapsed="false">
      <c r="A418" s="1" t="s">
        <v>267</v>
      </c>
      <c r="B418" s="1" t="s">
        <v>936</v>
      </c>
      <c r="C418" s="1" t="n">
        <v>46</v>
      </c>
      <c r="E418" s="1" t="s">
        <v>1193</v>
      </c>
      <c r="I418" s="1" t="s">
        <v>1048</v>
      </c>
      <c r="J418" s="1" t="s">
        <v>1194</v>
      </c>
      <c r="K418" s="1" t="n">
        <f aca="false">IF(Search!$D$5="",0,IF(AND(OR(Search!$N$5="",ISNUMBER(SEARCH(Search!$N$5,J418))),OR(Search!$N$6="",ISNUMBER(SEARCH(Search!$N$6,J418))),OR(Search!$N$7="",ISNUMBER(SEARCH(Search!$N$7,J418))),OR(Search!$N$8="",ISNUMBER(SEARCH(Search!$N$8,J418)))),1,0))</f>
        <v>0</v>
      </c>
      <c r="L418" s="1" t="n">
        <f aca="false">L417+K418</f>
        <v>0</v>
      </c>
    </row>
    <row r="419" customFormat="false" ht="15" hidden="false" customHeight="true" outlineLevel="0" collapsed="false">
      <c r="A419" s="1" t="s">
        <v>267</v>
      </c>
      <c r="B419" s="1" t="s">
        <v>936</v>
      </c>
      <c r="C419" s="1" t="n">
        <v>47</v>
      </c>
      <c r="E419" s="1" t="s">
        <v>1195</v>
      </c>
      <c r="I419" s="1" t="s">
        <v>1048</v>
      </c>
      <c r="J419" s="1" t="s">
        <v>1196</v>
      </c>
      <c r="K419" s="1" t="n">
        <f aca="false">IF(Search!$D$5="",0,IF(AND(OR(Search!$N$5="",ISNUMBER(SEARCH(Search!$N$5,J419))),OR(Search!$N$6="",ISNUMBER(SEARCH(Search!$N$6,J419))),OR(Search!$N$7="",ISNUMBER(SEARCH(Search!$N$7,J419))),OR(Search!$N$8="",ISNUMBER(SEARCH(Search!$N$8,J419)))),1,0))</f>
        <v>0</v>
      </c>
      <c r="L419" s="1" t="n">
        <f aca="false">L418+K419</f>
        <v>0</v>
      </c>
    </row>
    <row r="420" customFormat="false" ht="15" hidden="false" customHeight="true" outlineLevel="0" collapsed="false">
      <c r="A420" s="1" t="s">
        <v>267</v>
      </c>
      <c r="B420" s="1" t="s">
        <v>936</v>
      </c>
      <c r="C420" s="1" t="n">
        <v>48</v>
      </c>
      <c r="E420" s="1" t="s">
        <v>1197</v>
      </c>
      <c r="I420" s="1" t="s">
        <v>1048</v>
      </c>
      <c r="J420" s="1" t="s">
        <v>1198</v>
      </c>
      <c r="K420" s="1" t="n">
        <f aca="false">IF(Search!$D$5="",0,IF(AND(OR(Search!$N$5="",ISNUMBER(SEARCH(Search!$N$5,J420))),OR(Search!$N$6="",ISNUMBER(SEARCH(Search!$N$6,J420))),OR(Search!$N$7="",ISNUMBER(SEARCH(Search!$N$7,J420))),OR(Search!$N$8="",ISNUMBER(SEARCH(Search!$N$8,J420)))),1,0))</f>
        <v>0</v>
      </c>
      <c r="L420" s="1" t="n">
        <f aca="false">L419+K420</f>
        <v>0</v>
      </c>
    </row>
    <row r="421" customFormat="false" ht="15" hidden="false" customHeight="true" outlineLevel="0" collapsed="false">
      <c r="A421" s="1" t="s">
        <v>267</v>
      </c>
      <c r="B421" s="1" t="s">
        <v>936</v>
      </c>
      <c r="C421" s="1" t="n">
        <v>49</v>
      </c>
      <c r="E421" s="1" t="s">
        <v>1073</v>
      </c>
      <c r="I421" s="1" t="s">
        <v>1048</v>
      </c>
      <c r="J421" s="1" t="s">
        <v>1199</v>
      </c>
      <c r="K421" s="1" t="n">
        <f aca="false">IF(Search!$D$5="",0,IF(AND(OR(Search!$N$5="",ISNUMBER(SEARCH(Search!$N$5,J421))),OR(Search!$N$6="",ISNUMBER(SEARCH(Search!$N$6,J421))),OR(Search!$N$7="",ISNUMBER(SEARCH(Search!$N$7,J421))),OR(Search!$N$8="",ISNUMBER(SEARCH(Search!$N$8,J421)))),1,0))</f>
        <v>0</v>
      </c>
      <c r="L421" s="1" t="n">
        <f aca="false">L420+K421</f>
        <v>0</v>
      </c>
    </row>
    <row r="422" customFormat="false" ht="15" hidden="false" customHeight="true" outlineLevel="0" collapsed="false">
      <c r="A422" s="1" t="s">
        <v>267</v>
      </c>
      <c r="B422" s="1" t="s">
        <v>936</v>
      </c>
      <c r="C422" s="1" t="n">
        <v>50</v>
      </c>
      <c r="E422" s="1" t="s">
        <v>1075</v>
      </c>
      <c r="I422" s="1" t="s">
        <v>1048</v>
      </c>
      <c r="J422" s="1" t="s">
        <v>1200</v>
      </c>
      <c r="K422" s="1" t="n">
        <f aca="false">IF(Search!$D$5="",0,IF(AND(OR(Search!$N$5="",ISNUMBER(SEARCH(Search!$N$5,J422))),OR(Search!$N$6="",ISNUMBER(SEARCH(Search!$N$6,J422))),OR(Search!$N$7="",ISNUMBER(SEARCH(Search!$N$7,J422))),OR(Search!$N$8="",ISNUMBER(SEARCH(Search!$N$8,J422)))),1,0))</f>
        <v>0</v>
      </c>
      <c r="L422" s="1" t="n">
        <f aca="false">L421+K422</f>
        <v>0</v>
      </c>
    </row>
    <row r="423" customFormat="false" ht="15" hidden="false" customHeight="true" outlineLevel="0" collapsed="false">
      <c r="A423" s="1" t="s">
        <v>267</v>
      </c>
      <c r="B423" s="1" t="s">
        <v>936</v>
      </c>
      <c r="C423" s="1" t="n">
        <v>51</v>
      </c>
      <c r="E423" s="1" t="s">
        <v>1201</v>
      </c>
      <c r="I423" s="1" t="s">
        <v>1048</v>
      </c>
      <c r="J423" s="1" t="s">
        <v>1202</v>
      </c>
      <c r="K423" s="1" t="n">
        <f aca="false">IF(Search!$D$5="",0,IF(AND(OR(Search!$N$5="",ISNUMBER(SEARCH(Search!$N$5,J423))),OR(Search!$N$6="",ISNUMBER(SEARCH(Search!$N$6,J423))),OR(Search!$N$7="",ISNUMBER(SEARCH(Search!$N$7,J423))),OR(Search!$N$8="",ISNUMBER(SEARCH(Search!$N$8,J423)))),1,0))</f>
        <v>0</v>
      </c>
      <c r="L423" s="1" t="n">
        <f aca="false">L422+K423</f>
        <v>0</v>
      </c>
    </row>
    <row r="424" customFormat="false" ht="15" hidden="false" customHeight="true" outlineLevel="0" collapsed="false">
      <c r="A424" s="1" t="s">
        <v>267</v>
      </c>
      <c r="B424" s="1" t="s">
        <v>936</v>
      </c>
      <c r="C424" s="1" t="n">
        <v>52</v>
      </c>
      <c r="E424" s="1" t="s">
        <v>1203</v>
      </c>
      <c r="I424" s="1" t="s">
        <v>1048</v>
      </c>
      <c r="J424" s="1" t="s">
        <v>1204</v>
      </c>
      <c r="K424" s="1" t="n">
        <f aca="false">IF(Search!$D$5="",0,IF(AND(OR(Search!$N$5="",ISNUMBER(SEARCH(Search!$N$5,J424))),OR(Search!$N$6="",ISNUMBER(SEARCH(Search!$N$6,J424))),OR(Search!$N$7="",ISNUMBER(SEARCH(Search!$N$7,J424))),OR(Search!$N$8="",ISNUMBER(SEARCH(Search!$N$8,J424)))),1,0))</f>
        <v>0</v>
      </c>
      <c r="L424" s="1" t="n">
        <f aca="false">L423+K424</f>
        <v>0</v>
      </c>
    </row>
    <row r="425" customFormat="false" ht="15" hidden="false" customHeight="true" outlineLevel="0" collapsed="false">
      <c r="A425" s="1" t="s">
        <v>267</v>
      </c>
      <c r="B425" s="1" t="s">
        <v>936</v>
      </c>
      <c r="C425" s="1" t="n">
        <v>53</v>
      </c>
      <c r="E425" s="1" t="s">
        <v>1205</v>
      </c>
      <c r="I425" s="1" t="s">
        <v>1048</v>
      </c>
      <c r="J425" s="1" t="s">
        <v>1206</v>
      </c>
      <c r="K425" s="1" t="n">
        <f aca="false">IF(Search!$D$5="",0,IF(AND(OR(Search!$N$5="",ISNUMBER(SEARCH(Search!$N$5,J425))),OR(Search!$N$6="",ISNUMBER(SEARCH(Search!$N$6,J425))),OR(Search!$N$7="",ISNUMBER(SEARCH(Search!$N$7,J425))),OR(Search!$N$8="",ISNUMBER(SEARCH(Search!$N$8,J425)))),1,0))</f>
        <v>0</v>
      </c>
      <c r="L425" s="1" t="n">
        <f aca="false">L424+K425</f>
        <v>0</v>
      </c>
    </row>
    <row r="426" customFormat="false" ht="15" hidden="false" customHeight="true" outlineLevel="0" collapsed="false">
      <c r="A426" s="1" t="s">
        <v>267</v>
      </c>
      <c r="B426" s="1" t="s">
        <v>936</v>
      </c>
      <c r="C426" s="1" t="n">
        <v>54</v>
      </c>
      <c r="E426" s="1" t="s">
        <v>1207</v>
      </c>
      <c r="I426" s="1" t="s">
        <v>1048</v>
      </c>
      <c r="J426" s="1" t="s">
        <v>1208</v>
      </c>
      <c r="K426" s="1" t="n">
        <f aca="false">IF(Search!$D$5="",0,IF(AND(OR(Search!$N$5="",ISNUMBER(SEARCH(Search!$N$5,J426))),OR(Search!$N$6="",ISNUMBER(SEARCH(Search!$N$6,J426))),OR(Search!$N$7="",ISNUMBER(SEARCH(Search!$N$7,J426))),OR(Search!$N$8="",ISNUMBER(SEARCH(Search!$N$8,J426)))),1,0))</f>
        <v>0</v>
      </c>
      <c r="L426" s="1" t="n">
        <f aca="false">L425+K426</f>
        <v>0</v>
      </c>
    </row>
    <row r="427" customFormat="false" ht="15" hidden="false" customHeight="true" outlineLevel="0" collapsed="false">
      <c r="A427" s="1" t="s">
        <v>267</v>
      </c>
      <c r="B427" s="1" t="s">
        <v>936</v>
      </c>
      <c r="C427" s="1" t="n">
        <v>55</v>
      </c>
      <c r="E427" s="1" t="s">
        <v>1209</v>
      </c>
      <c r="J427" s="1" t="s">
        <v>1209</v>
      </c>
      <c r="K427" s="1" t="n">
        <f aca="false">IF(Search!$D$5="",0,IF(AND(OR(Search!$N$5="",ISNUMBER(SEARCH(Search!$N$5,J427))),OR(Search!$N$6="",ISNUMBER(SEARCH(Search!$N$6,J427))),OR(Search!$N$7="",ISNUMBER(SEARCH(Search!$N$7,J427))),OR(Search!$N$8="",ISNUMBER(SEARCH(Search!$N$8,J427)))),1,0))</f>
        <v>0</v>
      </c>
      <c r="L427" s="1" t="n">
        <f aca="false">L426+K427</f>
        <v>0</v>
      </c>
    </row>
    <row r="428" customFormat="false" ht="15" hidden="false" customHeight="true" outlineLevel="0" collapsed="false">
      <c r="A428" s="1" t="s">
        <v>267</v>
      </c>
      <c r="B428" s="1" t="s">
        <v>936</v>
      </c>
      <c r="C428" s="1" t="n">
        <v>56</v>
      </c>
      <c r="E428" s="1" t="s">
        <v>1210</v>
      </c>
      <c r="I428" s="1" t="s">
        <v>1048</v>
      </c>
      <c r="J428" s="1" t="s">
        <v>1211</v>
      </c>
      <c r="K428" s="1" t="n">
        <f aca="false">IF(Search!$D$5="",0,IF(AND(OR(Search!$N$5="",ISNUMBER(SEARCH(Search!$N$5,J428))),OR(Search!$N$6="",ISNUMBER(SEARCH(Search!$N$6,J428))),OR(Search!$N$7="",ISNUMBER(SEARCH(Search!$N$7,J428))),OR(Search!$N$8="",ISNUMBER(SEARCH(Search!$N$8,J428)))),1,0))</f>
        <v>0</v>
      </c>
      <c r="L428" s="1" t="n">
        <f aca="false">L427+K428</f>
        <v>0</v>
      </c>
    </row>
    <row r="429" customFormat="false" ht="15" hidden="false" customHeight="true" outlineLevel="0" collapsed="false">
      <c r="A429" s="1" t="s">
        <v>267</v>
      </c>
      <c r="B429" s="1" t="s">
        <v>936</v>
      </c>
      <c r="C429" s="1" t="n">
        <v>57</v>
      </c>
      <c r="E429" s="1" t="s">
        <v>1212</v>
      </c>
      <c r="J429" s="1" t="s">
        <v>1212</v>
      </c>
      <c r="K429" s="1" t="n">
        <f aca="false">IF(Search!$D$5="",0,IF(AND(OR(Search!$N$5="",ISNUMBER(SEARCH(Search!$N$5,J429))),OR(Search!$N$6="",ISNUMBER(SEARCH(Search!$N$6,J429))),OR(Search!$N$7="",ISNUMBER(SEARCH(Search!$N$7,J429))),OR(Search!$N$8="",ISNUMBER(SEARCH(Search!$N$8,J429)))),1,0))</f>
        <v>0</v>
      </c>
      <c r="L429" s="1" t="n">
        <f aca="false">L428+K429</f>
        <v>0</v>
      </c>
    </row>
    <row r="430" customFormat="false" ht="15" hidden="false" customHeight="true" outlineLevel="0" collapsed="false">
      <c r="A430" s="1" t="s">
        <v>267</v>
      </c>
      <c r="B430" s="1" t="s">
        <v>936</v>
      </c>
      <c r="C430" s="1" t="n">
        <v>58</v>
      </c>
      <c r="E430" s="1" t="s">
        <v>1213</v>
      </c>
      <c r="J430" s="1" t="s">
        <v>1213</v>
      </c>
      <c r="K430" s="1" t="n">
        <f aca="false">IF(Search!$D$5="",0,IF(AND(OR(Search!$N$5="",ISNUMBER(SEARCH(Search!$N$5,J430))),OR(Search!$N$6="",ISNUMBER(SEARCH(Search!$N$6,J430))),OR(Search!$N$7="",ISNUMBER(SEARCH(Search!$N$7,J430))),OR(Search!$N$8="",ISNUMBER(SEARCH(Search!$N$8,J430)))),1,0))</f>
        <v>0</v>
      </c>
      <c r="L430" s="1" t="n">
        <f aca="false">L429+K430</f>
        <v>0</v>
      </c>
    </row>
    <row r="431" customFormat="false" ht="15" hidden="false" customHeight="true" outlineLevel="0" collapsed="false">
      <c r="A431" s="1" t="s">
        <v>267</v>
      </c>
      <c r="B431" s="1" t="s">
        <v>936</v>
      </c>
      <c r="C431" s="1" t="n">
        <v>59</v>
      </c>
      <c r="E431" s="1" t="s">
        <v>1214</v>
      </c>
      <c r="J431" s="1" t="s">
        <v>1214</v>
      </c>
      <c r="K431" s="1" t="n">
        <f aca="false">IF(Search!$D$5="",0,IF(AND(OR(Search!$N$5="",ISNUMBER(SEARCH(Search!$N$5,J431))),OR(Search!$N$6="",ISNUMBER(SEARCH(Search!$N$6,J431))),OR(Search!$N$7="",ISNUMBER(SEARCH(Search!$N$7,J431))),OR(Search!$N$8="",ISNUMBER(SEARCH(Search!$N$8,J431)))),1,0))</f>
        <v>0</v>
      </c>
      <c r="L431" s="1" t="n">
        <f aca="false">L430+K431</f>
        <v>0</v>
      </c>
    </row>
    <row r="432" customFormat="false" ht="15" hidden="false" customHeight="true" outlineLevel="0" collapsed="false">
      <c r="A432" s="1" t="s">
        <v>267</v>
      </c>
      <c r="B432" s="1" t="s">
        <v>936</v>
      </c>
      <c r="C432" s="1" t="n">
        <v>60</v>
      </c>
      <c r="E432" s="1" t="s">
        <v>1215</v>
      </c>
      <c r="J432" s="1" t="s">
        <v>1215</v>
      </c>
      <c r="K432" s="1" t="n">
        <f aca="false">IF(Search!$D$5="",0,IF(AND(OR(Search!$N$5="",ISNUMBER(SEARCH(Search!$N$5,J432))),OR(Search!$N$6="",ISNUMBER(SEARCH(Search!$N$6,J432))),OR(Search!$N$7="",ISNUMBER(SEARCH(Search!$N$7,J432))),OR(Search!$N$8="",ISNUMBER(SEARCH(Search!$N$8,J432)))),1,0))</f>
        <v>0</v>
      </c>
      <c r="L432" s="1" t="n">
        <f aca="false">L431+K432</f>
        <v>0</v>
      </c>
    </row>
    <row r="433" customFormat="false" ht="15" hidden="false" customHeight="true" outlineLevel="0" collapsed="false">
      <c r="A433" s="1" t="s">
        <v>267</v>
      </c>
      <c r="B433" s="1" t="s">
        <v>936</v>
      </c>
      <c r="C433" s="1" t="n">
        <v>61</v>
      </c>
      <c r="E433" s="1" t="s">
        <v>1216</v>
      </c>
      <c r="J433" s="1" t="s">
        <v>1216</v>
      </c>
      <c r="K433" s="1" t="n">
        <f aca="false">IF(Search!$D$5="",0,IF(AND(OR(Search!$N$5="",ISNUMBER(SEARCH(Search!$N$5,J433))),OR(Search!$N$6="",ISNUMBER(SEARCH(Search!$N$6,J433))),OR(Search!$N$7="",ISNUMBER(SEARCH(Search!$N$7,J433))),OR(Search!$N$8="",ISNUMBER(SEARCH(Search!$N$8,J433)))),1,0))</f>
        <v>0</v>
      </c>
      <c r="L433" s="1" t="n">
        <f aca="false">L432+K433</f>
        <v>0</v>
      </c>
    </row>
    <row r="434" customFormat="false" ht="15" hidden="false" customHeight="true" outlineLevel="0" collapsed="false">
      <c r="A434" s="1" t="s">
        <v>267</v>
      </c>
      <c r="B434" s="1" t="s">
        <v>936</v>
      </c>
      <c r="C434" s="1" t="n">
        <v>62</v>
      </c>
      <c r="E434" s="1" t="s">
        <v>1217</v>
      </c>
      <c r="J434" s="1" t="s">
        <v>1217</v>
      </c>
      <c r="K434" s="1" t="n">
        <f aca="false">IF(Search!$D$5="",0,IF(AND(OR(Search!$N$5="",ISNUMBER(SEARCH(Search!$N$5,J434))),OR(Search!$N$6="",ISNUMBER(SEARCH(Search!$N$6,J434))),OR(Search!$N$7="",ISNUMBER(SEARCH(Search!$N$7,J434))),OR(Search!$N$8="",ISNUMBER(SEARCH(Search!$N$8,J434)))),1,0))</f>
        <v>0</v>
      </c>
      <c r="L434" s="1" t="n">
        <f aca="false">L433+K434</f>
        <v>0</v>
      </c>
    </row>
    <row r="435" customFormat="false" ht="15" hidden="false" customHeight="true" outlineLevel="0" collapsed="false">
      <c r="A435" s="1" t="s">
        <v>267</v>
      </c>
      <c r="B435" s="1" t="s">
        <v>936</v>
      </c>
      <c r="C435" s="1" t="n">
        <v>63</v>
      </c>
      <c r="E435" s="1" t="s">
        <v>1218</v>
      </c>
      <c r="J435" s="1" t="s">
        <v>1218</v>
      </c>
      <c r="K435" s="1" t="n">
        <f aca="false">IF(Search!$D$5="",0,IF(AND(OR(Search!$N$5="",ISNUMBER(SEARCH(Search!$N$5,J435))),OR(Search!$N$6="",ISNUMBER(SEARCH(Search!$N$6,J435))),OR(Search!$N$7="",ISNUMBER(SEARCH(Search!$N$7,J435))),OR(Search!$N$8="",ISNUMBER(SEARCH(Search!$N$8,J435)))),1,0))</f>
        <v>0</v>
      </c>
      <c r="L435" s="1" t="n">
        <f aca="false">L434+K435</f>
        <v>0</v>
      </c>
    </row>
    <row r="436" customFormat="false" ht="15" hidden="false" customHeight="true" outlineLevel="0" collapsed="false">
      <c r="A436" s="1" t="s">
        <v>267</v>
      </c>
      <c r="B436" s="1" t="s">
        <v>936</v>
      </c>
      <c r="C436" s="1" t="n">
        <v>64</v>
      </c>
      <c r="E436" s="1" t="s">
        <v>1219</v>
      </c>
      <c r="J436" s="1" t="s">
        <v>1219</v>
      </c>
      <c r="K436" s="1" t="n">
        <f aca="false">IF(Search!$D$5="",0,IF(AND(OR(Search!$N$5="",ISNUMBER(SEARCH(Search!$N$5,J436))),OR(Search!$N$6="",ISNUMBER(SEARCH(Search!$N$6,J436))),OR(Search!$N$7="",ISNUMBER(SEARCH(Search!$N$7,J436))),OR(Search!$N$8="",ISNUMBER(SEARCH(Search!$N$8,J436)))),1,0))</f>
        <v>0</v>
      </c>
      <c r="L436" s="1" t="n">
        <f aca="false">L435+K436</f>
        <v>0</v>
      </c>
    </row>
    <row r="437" customFormat="false" ht="15" hidden="false" customHeight="true" outlineLevel="0" collapsed="false">
      <c r="A437" s="1" t="s">
        <v>267</v>
      </c>
      <c r="B437" s="1" t="s">
        <v>936</v>
      </c>
      <c r="C437" s="1" t="n">
        <v>65</v>
      </c>
      <c r="E437" s="1" t="s">
        <v>1220</v>
      </c>
      <c r="J437" s="1" t="s">
        <v>1220</v>
      </c>
      <c r="K437" s="1" t="n">
        <f aca="false">IF(Search!$D$5="",0,IF(AND(OR(Search!$N$5="",ISNUMBER(SEARCH(Search!$N$5,J437))),OR(Search!$N$6="",ISNUMBER(SEARCH(Search!$N$6,J437))),OR(Search!$N$7="",ISNUMBER(SEARCH(Search!$N$7,J437))),OR(Search!$N$8="",ISNUMBER(SEARCH(Search!$N$8,J437)))),1,0))</f>
        <v>0</v>
      </c>
      <c r="L437" s="1" t="n">
        <f aca="false">L436+K437</f>
        <v>0</v>
      </c>
    </row>
    <row r="438" customFormat="false" ht="15" hidden="false" customHeight="true" outlineLevel="0" collapsed="false">
      <c r="A438" s="1" t="s">
        <v>267</v>
      </c>
      <c r="B438" s="1" t="s">
        <v>936</v>
      </c>
      <c r="C438" s="1" t="n">
        <v>67</v>
      </c>
      <c r="E438" s="1" t="s">
        <v>1082</v>
      </c>
      <c r="J438" s="1" t="s">
        <v>1082</v>
      </c>
      <c r="K438" s="1" t="n">
        <f aca="false">IF(Search!$D$5="",0,IF(AND(OR(Search!$N$5="",ISNUMBER(SEARCH(Search!$N$5,J438))),OR(Search!$N$6="",ISNUMBER(SEARCH(Search!$N$6,J438))),OR(Search!$N$7="",ISNUMBER(SEARCH(Search!$N$7,J438))),OR(Search!$N$8="",ISNUMBER(SEARCH(Search!$N$8,J438)))),1,0))</f>
        <v>0</v>
      </c>
      <c r="L438" s="1" t="n">
        <f aca="false">L437+K438</f>
        <v>0</v>
      </c>
    </row>
    <row r="439" customFormat="false" ht="15" hidden="false" customHeight="true" outlineLevel="0" collapsed="false">
      <c r="A439" s="1" t="s">
        <v>267</v>
      </c>
      <c r="B439" s="1" t="s">
        <v>936</v>
      </c>
      <c r="C439" s="1" t="n">
        <v>68</v>
      </c>
      <c r="E439" s="1" t="s">
        <v>1025</v>
      </c>
      <c r="J439" s="1" t="s">
        <v>1025</v>
      </c>
      <c r="K439" s="1" t="n">
        <f aca="false">IF(Search!$D$5="",0,IF(AND(OR(Search!$N$5="",ISNUMBER(SEARCH(Search!$N$5,J439))),OR(Search!$N$6="",ISNUMBER(SEARCH(Search!$N$6,J439))),OR(Search!$N$7="",ISNUMBER(SEARCH(Search!$N$7,J439))),OR(Search!$N$8="",ISNUMBER(SEARCH(Search!$N$8,J439)))),1,0))</f>
        <v>0</v>
      </c>
      <c r="L439" s="1" t="n">
        <f aca="false">L438+K439</f>
        <v>0</v>
      </c>
    </row>
    <row r="440" customFormat="false" ht="15" hidden="false" customHeight="true" outlineLevel="0" collapsed="false">
      <c r="A440" s="1" t="s">
        <v>29</v>
      </c>
      <c r="B440" s="1" t="s">
        <v>1221</v>
      </c>
      <c r="C440" s="1" t="n">
        <v>2</v>
      </c>
      <c r="E440" s="1" t="s">
        <v>1222</v>
      </c>
      <c r="J440" s="1" t="s">
        <v>1222</v>
      </c>
      <c r="K440" s="1" t="n">
        <f aca="false">IF(Search!$D$5="",0,IF(AND(OR(Search!$N$5="",ISNUMBER(SEARCH(Search!$N$5,J440))),OR(Search!$N$6="",ISNUMBER(SEARCH(Search!$N$6,J440))),OR(Search!$N$7="",ISNUMBER(SEARCH(Search!$N$7,J440))),OR(Search!$N$8="",ISNUMBER(SEARCH(Search!$N$8,J440)))),1,0))</f>
        <v>0</v>
      </c>
      <c r="L440" s="1" t="n">
        <f aca="false">L439+K440</f>
        <v>0</v>
      </c>
    </row>
    <row r="441" customFormat="false" ht="15" hidden="false" customHeight="true" outlineLevel="0" collapsed="false">
      <c r="A441" s="1" t="s">
        <v>29</v>
      </c>
      <c r="B441" s="1" t="s">
        <v>1221</v>
      </c>
      <c r="C441" s="1" t="n">
        <v>3</v>
      </c>
      <c r="E441" s="1" t="s">
        <v>1223</v>
      </c>
      <c r="J441" s="1" t="s">
        <v>1223</v>
      </c>
      <c r="K441" s="1" t="n">
        <f aca="false">IF(Search!$D$5="",0,IF(AND(OR(Search!$N$5="",ISNUMBER(SEARCH(Search!$N$5,J441))),OR(Search!$N$6="",ISNUMBER(SEARCH(Search!$N$6,J441))),OR(Search!$N$7="",ISNUMBER(SEARCH(Search!$N$7,J441))),OR(Search!$N$8="",ISNUMBER(SEARCH(Search!$N$8,J441)))),1,0))</f>
        <v>0</v>
      </c>
      <c r="L441" s="1" t="n">
        <f aca="false">L440+K441</f>
        <v>0</v>
      </c>
    </row>
    <row r="442" customFormat="false" ht="15" hidden="false" customHeight="true" outlineLevel="0" collapsed="false">
      <c r="A442" s="1" t="s">
        <v>29</v>
      </c>
      <c r="B442" s="1" t="s">
        <v>1221</v>
      </c>
      <c r="C442" s="1" t="n">
        <v>5</v>
      </c>
      <c r="E442" s="1" t="s">
        <v>233</v>
      </c>
      <c r="F442" s="1" t="s">
        <v>1224</v>
      </c>
      <c r="G442" s="1" t="s">
        <v>1225</v>
      </c>
      <c r="H442" s="1" t="s">
        <v>1226</v>
      </c>
      <c r="J442" s="1" t="s">
        <v>1227</v>
      </c>
      <c r="K442" s="1" t="n">
        <f aca="false">IF(Search!$D$5="",0,IF(AND(OR(Search!$N$5="",ISNUMBER(SEARCH(Search!$N$5,J442))),OR(Search!$N$6="",ISNUMBER(SEARCH(Search!$N$6,J442))),OR(Search!$N$7="",ISNUMBER(SEARCH(Search!$N$7,J442))),OR(Search!$N$8="",ISNUMBER(SEARCH(Search!$N$8,J442)))),1,0))</f>
        <v>0</v>
      </c>
      <c r="L442" s="1" t="n">
        <f aca="false">L441+K442</f>
        <v>0</v>
      </c>
    </row>
    <row r="443" customFormat="false" ht="16.5" hidden="false" customHeight="true" outlineLevel="0" collapsed="false">
      <c r="A443" s="1" t="s">
        <v>29</v>
      </c>
      <c r="B443" s="1" t="s">
        <v>1221</v>
      </c>
      <c r="C443" s="1" t="n">
        <v>6</v>
      </c>
      <c r="E443" s="1" t="s">
        <v>273</v>
      </c>
      <c r="F443" s="1" t="s">
        <v>1228</v>
      </c>
      <c r="G443" s="1" t="s">
        <v>1229</v>
      </c>
      <c r="H443" s="1" t="s">
        <v>1230</v>
      </c>
      <c r="J443" s="1" t="s">
        <v>1231</v>
      </c>
      <c r="K443" s="1" t="n">
        <f aca="false">IF(Search!$D$5="",0,IF(AND(OR(Search!$N$5="",ISNUMBER(SEARCH(Search!$N$5,J443))),OR(Search!$N$6="",ISNUMBER(SEARCH(Search!$N$6,J443))),OR(Search!$N$7="",ISNUMBER(SEARCH(Search!$N$7,J443))),OR(Search!$N$8="",ISNUMBER(SEARCH(Search!$N$8,J443)))),1,0))</f>
        <v>0</v>
      </c>
      <c r="L443" s="1" t="n">
        <f aca="false">L442+K443</f>
        <v>0</v>
      </c>
    </row>
    <row r="444" customFormat="false" ht="16.5" hidden="false" customHeight="true" outlineLevel="0" collapsed="false">
      <c r="A444" s="1" t="s">
        <v>29</v>
      </c>
      <c r="B444" s="1" t="s">
        <v>1221</v>
      </c>
      <c r="C444" s="1" t="n">
        <v>7</v>
      </c>
      <c r="E444" s="1" t="s">
        <v>276</v>
      </c>
      <c r="F444" s="1" t="s">
        <v>1232</v>
      </c>
      <c r="G444" s="1" t="s">
        <v>1233</v>
      </c>
      <c r="H444" s="1" t="s">
        <v>1230</v>
      </c>
      <c r="J444" s="1" t="s">
        <v>1234</v>
      </c>
      <c r="K444" s="1" t="n">
        <f aca="false">IF(Search!$D$5="",0,IF(AND(OR(Search!$N$5="",ISNUMBER(SEARCH(Search!$N$5,J444))),OR(Search!$N$6="",ISNUMBER(SEARCH(Search!$N$6,J444))),OR(Search!$N$7="",ISNUMBER(SEARCH(Search!$N$7,J444))),OR(Search!$N$8="",ISNUMBER(SEARCH(Search!$N$8,J444)))),1,0))</f>
        <v>0</v>
      </c>
      <c r="L444" s="1" t="n">
        <f aca="false">L443+K444</f>
        <v>0</v>
      </c>
    </row>
    <row r="445" customFormat="false" ht="16.5" hidden="false" customHeight="true" outlineLevel="0" collapsed="false">
      <c r="A445" s="1" t="s">
        <v>29</v>
      </c>
      <c r="B445" s="1" t="s">
        <v>1221</v>
      </c>
      <c r="C445" s="1" t="n">
        <v>8</v>
      </c>
      <c r="E445" s="1" t="s">
        <v>279</v>
      </c>
      <c r="F445" s="1" t="s">
        <v>1235</v>
      </c>
      <c r="G445" s="1" t="s">
        <v>1236</v>
      </c>
      <c r="H445" s="1" t="s">
        <v>1237</v>
      </c>
      <c r="J445" s="1" t="s">
        <v>1238</v>
      </c>
      <c r="K445" s="1" t="n">
        <f aca="false">IF(Search!$D$5="",0,IF(AND(OR(Search!$N$5="",ISNUMBER(SEARCH(Search!$N$5,J445))),OR(Search!$N$6="",ISNUMBER(SEARCH(Search!$N$6,J445))),OR(Search!$N$7="",ISNUMBER(SEARCH(Search!$N$7,J445))),OR(Search!$N$8="",ISNUMBER(SEARCH(Search!$N$8,J445)))),1,0))</f>
        <v>0</v>
      </c>
      <c r="L445" s="1" t="n">
        <f aca="false">L444+K445</f>
        <v>0</v>
      </c>
    </row>
    <row r="446" customFormat="false" ht="16.5" hidden="false" customHeight="true" outlineLevel="0" collapsed="false">
      <c r="A446" s="1" t="s">
        <v>29</v>
      </c>
      <c r="B446" s="1" t="s">
        <v>1221</v>
      </c>
      <c r="C446" s="1" t="n">
        <v>9</v>
      </c>
      <c r="E446" s="1" t="s">
        <v>282</v>
      </c>
      <c r="F446" s="1" t="s">
        <v>1239</v>
      </c>
      <c r="G446" s="1" t="s">
        <v>1240</v>
      </c>
      <c r="H446" s="1" t="s">
        <v>1237</v>
      </c>
      <c r="J446" s="1" t="s">
        <v>1241</v>
      </c>
      <c r="K446" s="1" t="n">
        <f aca="false">IF(Search!$D$5="",0,IF(AND(OR(Search!$N$5="",ISNUMBER(SEARCH(Search!$N$5,J446))),OR(Search!$N$6="",ISNUMBER(SEARCH(Search!$N$6,J446))),OR(Search!$N$7="",ISNUMBER(SEARCH(Search!$N$7,J446))),OR(Search!$N$8="",ISNUMBER(SEARCH(Search!$N$8,J446)))),1,0))</f>
        <v>0</v>
      </c>
      <c r="L446" s="1" t="n">
        <f aca="false">L445+K446</f>
        <v>0</v>
      </c>
    </row>
    <row r="447" customFormat="false" ht="16.5" hidden="false" customHeight="true" outlineLevel="0" collapsed="false">
      <c r="A447" s="1" t="s">
        <v>29</v>
      </c>
      <c r="B447" s="1" t="s">
        <v>1221</v>
      </c>
      <c r="C447" s="1" t="n">
        <v>10</v>
      </c>
      <c r="E447" s="1" t="s">
        <v>285</v>
      </c>
      <c r="F447" s="1" t="s">
        <v>1242</v>
      </c>
      <c r="G447" s="1" t="s">
        <v>1243</v>
      </c>
      <c r="H447" s="1" t="s">
        <v>1237</v>
      </c>
      <c r="J447" s="1" t="s">
        <v>1244</v>
      </c>
      <c r="K447" s="1" t="n">
        <f aca="false">IF(Search!$D$5="",0,IF(AND(OR(Search!$N$5="",ISNUMBER(SEARCH(Search!$N$5,J447))),OR(Search!$N$6="",ISNUMBER(SEARCH(Search!$N$6,J447))),OR(Search!$N$7="",ISNUMBER(SEARCH(Search!$N$7,J447))),OR(Search!$N$8="",ISNUMBER(SEARCH(Search!$N$8,J447)))),1,0))</f>
        <v>0</v>
      </c>
      <c r="L447" s="1" t="n">
        <f aca="false">L446+K447</f>
        <v>0</v>
      </c>
    </row>
    <row r="448" customFormat="false" ht="16.5" hidden="false" customHeight="true" outlineLevel="0" collapsed="false">
      <c r="A448" s="1" t="s">
        <v>29</v>
      </c>
      <c r="B448" s="1" t="s">
        <v>1221</v>
      </c>
      <c r="C448" s="1" t="n">
        <v>11</v>
      </c>
      <c r="E448" s="1" t="s">
        <v>288</v>
      </c>
      <c r="F448" s="1" t="s">
        <v>1245</v>
      </c>
      <c r="G448" s="1" t="s">
        <v>1246</v>
      </c>
      <c r="H448" s="1" t="s">
        <v>1247</v>
      </c>
      <c r="J448" s="1" t="s">
        <v>1248</v>
      </c>
      <c r="K448" s="1" t="n">
        <f aca="false">IF(Search!$D$5="",0,IF(AND(OR(Search!$N$5="",ISNUMBER(SEARCH(Search!$N$5,J448))),OR(Search!$N$6="",ISNUMBER(SEARCH(Search!$N$6,J448))),OR(Search!$N$7="",ISNUMBER(SEARCH(Search!$N$7,J448))),OR(Search!$N$8="",ISNUMBER(SEARCH(Search!$N$8,J448)))),1,0))</f>
        <v>0</v>
      </c>
      <c r="L448" s="1" t="n">
        <f aca="false">L447+K448</f>
        <v>0</v>
      </c>
    </row>
    <row r="449" customFormat="false" ht="16.5" hidden="false" customHeight="true" outlineLevel="0" collapsed="false">
      <c r="A449" s="1" t="s">
        <v>29</v>
      </c>
      <c r="B449" s="1" t="s">
        <v>1221</v>
      </c>
      <c r="C449" s="1" t="n">
        <v>12</v>
      </c>
      <c r="E449" s="1" t="s">
        <v>291</v>
      </c>
      <c r="F449" s="1" t="s">
        <v>1249</v>
      </c>
      <c r="G449" s="1" t="s">
        <v>1250</v>
      </c>
      <c r="H449" s="1" t="s">
        <v>1251</v>
      </c>
      <c r="J449" s="1" t="s">
        <v>1252</v>
      </c>
      <c r="K449" s="1" t="n">
        <f aca="false">IF(Search!$D$5="",0,IF(AND(OR(Search!$N$5="",ISNUMBER(SEARCH(Search!$N$5,J449))),OR(Search!$N$6="",ISNUMBER(SEARCH(Search!$N$6,J449))),OR(Search!$N$7="",ISNUMBER(SEARCH(Search!$N$7,J449))),OR(Search!$N$8="",ISNUMBER(SEARCH(Search!$N$8,J449)))),1,0))</f>
        <v>0</v>
      </c>
      <c r="L449" s="1" t="n">
        <f aca="false">L448+K449</f>
        <v>0</v>
      </c>
    </row>
    <row r="450" customFormat="false" ht="16.5" hidden="false" customHeight="true" outlineLevel="0" collapsed="false">
      <c r="A450" s="1" t="s">
        <v>29</v>
      </c>
      <c r="B450" s="1" t="s">
        <v>1221</v>
      </c>
      <c r="C450" s="1" t="n">
        <v>13</v>
      </c>
      <c r="E450" s="1" t="s">
        <v>294</v>
      </c>
      <c r="F450" s="1" t="s">
        <v>1253</v>
      </c>
      <c r="G450" s="1" t="s">
        <v>1254</v>
      </c>
      <c r="H450" s="1" t="s">
        <v>1255</v>
      </c>
      <c r="J450" s="1" t="s">
        <v>1256</v>
      </c>
      <c r="K450" s="1" t="n">
        <f aca="false">IF(Search!$D$5="",0,IF(AND(OR(Search!$N$5="",ISNUMBER(SEARCH(Search!$N$5,J450))),OR(Search!$N$6="",ISNUMBER(SEARCH(Search!$N$6,J450))),OR(Search!$N$7="",ISNUMBER(SEARCH(Search!$N$7,J450))),OR(Search!$N$8="",ISNUMBER(SEARCH(Search!$N$8,J450)))),1,0))</f>
        <v>0</v>
      </c>
      <c r="L450" s="1" t="n">
        <f aca="false">L449+K450</f>
        <v>0</v>
      </c>
    </row>
    <row r="451" customFormat="false" ht="16.5" hidden="false" customHeight="true" outlineLevel="0" collapsed="false">
      <c r="A451" s="1" t="s">
        <v>29</v>
      </c>
      <c r="B451" s="1" t="s">
        <v>1221</v>
      </c>
      <c r="C451" s="1" t="n">
        <v>14</v>
      </c>
      <c r="E451" s="1" t="s">
        <v>297</v>
      </c>
      <c r="F451" s="1" t="s">
        <v>1257</v>
      </c>
      <c r="G451" s="1" t="s">
        <v>1258</v>
      </c>
      <c r="H451" s="1" t="s">
        <v>1255</v>
      </c>
      <c r="J451" s="1" t="s">
        <v>1259</v>
      </c>
      <c r="K451" s="1" t="n">
        <f aca="false">IF(Search!$D$5="",0,IF(AND(OR(Search!$N$5="",ISNUMBER(SEARCH(Search!$N$5,J451))),OR(Search!$N$6="",ISNUMBER(SEARCH(Search!$N$6,J451))),OR(Search!$N$7="",ISNUMBER(SEARCH(Search!$N$7,J451))),OR(Search!$N$8="",ISNUMBER(SEARCH(Search!$N$8,J451)))),1,0))</f>
        <v>0</v>
      </c>
      <c r="L451" s="1" t="n">
        <f aca="false">L450+K451</f>
        <v>0</v>
      </c>
    </row>
    <row r="452" customFormat="false" ht="16.5" hidden="false" customHeight="true" outlineLevel="0" collapsed="false">
      <c r="A452" s="1" t="s">
        <v>29</v>
      </c>
      <c r="B452" s="1" t="s">
        <v>1221</v>
      </c>
      <c r="C452" s="1" t="n">
        <v>15</v>
      </c>
      <c r="E452" s="1" t="s">
        <v>300</v>
      </c>
      <c r="F452" s="1" t="s">
        <v>1260</v>
      </c>
      <c r="G452" s="1" t="s">
        <v>1261</v>
      </c>
      <c r="H452" s="1" t="s">
        <v>1230</v>
      </c>
      <c r="J452" s="1" t="s">
        <v>1262</v>
      </c>
      <c r="K452" s="1" t="n">
        <f aca="false">IF(Search!$D$5="",0,IF(AND(OR(Search!$N$5="",ISNUMBER(SEARCH(Search!$N$5,J452))),OR(Search!$N$6="",ISNUMBER(SEARCH(Search!$N$6,J452))),OR(Search!$N$7="",ISNUMBER(SEARCH(Search!$N$7,J452))),OR(Search!$N$8="",ISNUMBER(SEARCH(Search!$N$8,J452)))),1,0))</f>
        <v>0</v>
      </c>
      <c r="L452" s="1" t="n">
        <f aca="false">L451+K452</f>
        <v>0</v>
      </c>
    </row>
    <row r="453" customFormat="false" ht="16.5" hidden="false" customHeight="true" outlineLevel="0" collapsed="false">
      <c r="A453" s="1" t="s">
        <v>29</v>
      </c>
      <c r="B453" s="1" t="s">
        <v>1221</v>
      </c>
      <c r="C453" s="1" t="n">
        <v>16</v>
      </c>
      <c r="E453" s="1" t="s">
        <v>303</v>
      </c>
      <c r="F453" s="1" t="s">
        <v>1263</v>
      </c>
      <c r="G453" s="1" t="s">
        <v>1261</v>
      </c>
      <c r="H453" s="1" t="s">
        <v>1230</v>
      </c>
      <c r="J453" s="1" t="s">
        <v>1264</v>
      </c>
      <c r="K453" s="1" t="n">
        <f aca="false">IF(Search!$D$5="",0,IF(AND(OR(Search!$N$5="",ISNUMBER(SEARCH(Search!$N$5,J453))),OR(Search!$N$6="",ISNUMBER(SEARCH(Search!$N$6,J453))),OR(Search!$N$7="",ISNUMBER(SEARCH(Search!$N$7,J453))),OR(Search!$N$8="",ISNUMBER(SEARCH(Search!$N$8,J453)))),1,0))</f>
        <v>0</v>
      </c>
      <c r="L453" s="1" t="n">
        <f aca="false">L452+K453</f>
        <v>0</v>
      </c>
    </row>
    <row r="454" customFormat="false" ht="15" hidden="false" customHeight="true" outlineLevel="0" collapsed="false">
      <c r="A454" s="1" t="s">
        <v>29</v>
      </c>
      <c r="B454" s="1" t="s">
        <v>1221</v>
      </c>
      <c r="C454" s="1" t="n">
        <v>17</v>
      </c>
      <c r="E454" s="1" t="s">
        <v>306</v>
      </c>
      <c r="F454" s="1" t="s">
        <v>1265</v>
      </c>
      <c r="G454" s="1" t="s">
        <v>1266</v>
      </c>
      <c r="H454" s="1" t="s">
        <v>1237</v>
      </c>
      <c r="J454" s="1" t="s">
        <v>1267</v>
      </c>
      <c r="K454" s="1" t="n">
        <f aca="false">IF(Search!$D$5="",0,IF(AND(OR(Search!$N$5="",ISNUMBER(SEARCH(Search!$N$5,J454))),OR(Search!$N$6="",ISNUMBER(SEARCH(Search!$N$6,J454))),OR(Search!$N$7="",ISNUMBER(SEARCH(Search!$N$7,J454))),OR(Search!$N$8="",ISNUMBER(SEARCH(Search!$N$8,J454)))),1,0))</f>
        <v>0</v>
      </c>
      <c r="L454" s="1" t="n">
        <f aca="false">L453+K454</f>
        <v>0</v>
      </c>
    </row>
    <row r="455" customFormat="false" ht="16.5" hidden="false" customHeight="true" outlineLevel="0" collapsed="false">
      <c r="A455" s="1" t="s">
        <v>29</v>
      </c>
      <c r="B455" s="1" t="s">
        <v>1221</v>
      </c>
      <c r="C455" s="1" t="n">
        <v>18</v>
      </c>
      <c r="E455" s="1" t="s">
        <v>309</v>
      </c>
      <c r="F455" s="1" t="s">
        <v>1268</v>
      </c>
      <c r="G455" s="1" t="s">
        <v>1269</v>
      </c>
      <c r="H455" s="1" t="s">
        <v>1237</v>
      </c>
      <c r="J455" s="1" t="s">
        <v>1270</v>
      </c>
      <c r="K455" s="1" t="n">
        <f aca="false">IF(Search!$D$5="",0,IF(AND(OR(Search!$N$5="",ISNUMBER(SEARCH(Search!$N$5,J455))),OR(Search!$N$6="",ISNUMBER(SEARCH(Search!$N$6,J455))),OR(Search!$N$7="",ISNUMBER(SEARCH(Search!$N$7,J455))),OR(Search!$N$8="",ISNUMBER(SEARCH(Search!$N$8,J455)))),1,0))</f>
        <v>0</v>
      </c>
      <c r="L455" s="1" t="n">
        <f aca="false">L454+K455</f>
        <v>0</v>
      </c>
    </row>
    <row r="456" customFormat="false" ht="16.5" hidden="false" customHeight="true" outlineLevel="0" collapsed="false">
      <c r="A456" s="1" t="s">
        <v>29</v>
      </c>
      <c r="B456" s="1" t="s">
        <v>1221</v>
      </c>
      <c r="C456" s="1" t="n">
        <v>19</v>
      </c>
      <c r="E456" s="1" t="s">
        <v>312</v>
      </c>
      <c r="F456" s="1" t="s">
        <v>1271</v>
      </c>
      <c r="G456" s="1" t="s">
        <v>1272</v>
      </c>
      <c r="H456" s="1" t="s">
        <v>1273</v>
      </c>
      <c r="J456" s="1" t="s">
        <v>1274</v>
      </c>
      <c r="K456" s="1" t="n">
        <f aca="false">IF(Search!$D$5="",0,IF(AND(OR(Search!$N$5="",ISNUMBER(SEARCH(Search!$N$5,J456))),OR(Search!$N$6="",ISNUMBER(SEARCH(Search!$N$6,J456))),OR(Search!$N$7="",ISNUMBER(SEARCH(Search!$N$7,J456))),OR(Search!$N$8="",ISNUMBER(SEARCH(Search!$N$8,J456)))),1,0))</f>
        <v>0</v>
      </c>
      <c r="L456" s="1" t="n">
        <f aca="false">L455+K456</f>
        <v>0</v>
      </c>
    </row>
    <row r="457" customFormat="false" ht="16.5" hidden="false" customHeight="true" outlineLevel="0" collapsed="false">
      <c r="A457" s="1" t="s">
        <v>29</v>
      </c>
      <c r="B457" s="1" t="s">
        <v>1221</v>
      </c>
      <c r="C457" s="1" t="n">
        <v>20</v>
      </c>
      <c r="E457" s="1" t="s">
        <v>315</v>
      </c>
      <c r="F457" s="1" t="s">
        <v>1275</v>
      </c>
      <c r="G457" s="1" t="s">
        <v>1276</v>
      </c>
      <c r="H457" s="1" t="s">
        <v>1277</v>
      </c>
      <c r="J457" s="1" t="s">
        <v>1278</v>
      </c>
      <c r="K457" s="1" t="n">
        <f aca="false">IF(Search!$D$5="",0,IF(AND(OR(Search!$N$5="",ISNUMBER(SEARCH(Search!$N$5,J457))),OR(Search!$N$6="",ISNUMBER(SEARCH(Search!$N$6,J457))),OR(Search!$N$7="",ISNUMBER(SEARCH(Search!$N$7,J457))),OR(Search!$N$8="",ISNUMBER(SEARCH(Search!$N$8,J457)))),1,0))</f>
        <v>0</v>
      </c>
      <c r="L457" s="1" t="n">
        <f aca="false">L456+K457</f>
        <v>0</v>
      </c>
    </row>
    <row r="458" customFormat="false" ht="15" hidden="false" customHeight="true" outlineLevel="0" collapsed="false">
      <c r="A458" s="1" t="s">
        <v>29</v>
      </c>
      <c r="B458" s="1" t="s">
        <v>1221</v>
      </c>
      <c r="C458" s="1" t="n">
        <v>22</v>
      </c>
      <c r="E458" s="1" t="s">
        <v>1279</v>
      </c>
      <c r="J458" s="1" t="s">
        <v>1279</v>
      </c>
      <c r="K458" s="1" t="n">
        <f aca="false">IF(Search!$D$5="",0,IF(AND(OR(Search!$N$5="",ISNUMBER(SEARCH(Search!$N$5,J458))),OR(Search!$N$6="",ISNUMBER(SEARCH(Search!$N$6,J458))),OR(Search!$N$7="",ISNUMBER(SEARCH(Search!$N$7,J458))),OR(Search!$N$8="",ISNUMBER(SEARCH(Search!$N$8,J458)))),1,0))</f>
        <v>0</v>
      </c>
      <c r="L458" s="1" t="n">
        <f aca="false">L457+K458</f>
        <v>0</v>
      </c>
    </row>
    <row r="459" customFormat="false" ht="16.5" hidden="false" customHeight="true" outlineLevel="0" collapsed="false">
      <c r="A459" s="1" t="s">
        <v>273</v>
      </c>
      <c r="B459" s="1" t="s">
        <v>1221</v>
      </c>
      <c r="C459" s="1" t="n">
        <v>2</v>
      </c>
      <c r="E459" s="1" t="s">
        <v>1280</v>
      </c>
      <c r="J459" s="1" t="s">
        <v>1280</v>
      </c>
      <c r="K459" s="1" t="n">
        <f aca="false">IF(Search!$D$5="",0,IF(AND(OR(Search!$N$5="",ISNUMBER(SEARCH(Search!$N$5,J459))),OR(Search!$N$6="",ISNUMBER(SEARCH(Search!$N$6,J459))),OR(Search!$N$7="",ISNUMBER(SEARCH(Search!$N$7,J459))),OR(Search!$N$8="",ISNUMBER(SEARCH(Search!$N$8,J459)))),1,0))</f>
        <v>0</v>
      </c>
      <c r="L459" s="1" t="n">
        <f aca="false">L458+K459</f>
        <v>0</v>
      </c>
    </row>
    <row r="460" customFormat="false" ht="15" hidden="false" customHeight="true" outlineLevel="0" collapsed="false">
      <c r="A460" s="1" t="s">
        <v>273</v>
      </c>
      <c r="B460" s="1" t="s">
        <v>1221</v>
      </c>
      <c r="C460" s="1" t="n">
        <v>3</v>
      </c>
      <c r="E460" s="1" t="s">
        <v>1281</v>
      </c>
      <c r="J460" s="1" t="s">
        <v>1281</v>
      </c>
      <c r="K460" s="1" t="n">
        <f aca="false">IF(Search!$D$5="",0,IF(AND(OR(Search!$N$5="",ISNUMBER(SEARCH(Search!$N$5,J460))),OR(Search!$N$6="",ISNUMBER(SEARCH(Search!$N$6,J460))),OR(Search!$N$7="",ISNUMBER(SEARCH(Search!$N$7,J460))),OR(Search!$N$8="",ISNUMBER(SEARCH(Search!$N$8,J460)))),1,0))</f>
        <v>0</v>
      </c>
      <c r="L460" s="1" t="n">
        <f aca="false">L459+K460</f>
        <v>0</v>
      </c>
    </row>
    <row r="461" customFormat="false" ht="15" hidden="false" customHeight="true" outlineLevel="0" collapsed="false">
      <c r="A461" s="1" t="s">
        <v>273</v>
      </c>
      <c r="B461" s="1" t="s">
        <v>1221</v>
      </c>
      <c r="C461" s="1" t="n">
        <v>5</v>
      </c>
      <c r="E461" s="1" t="s">
        <v>1282</v>
      </c>
      <c r="J461" s="1" t="s">
        <v>1282</v>
      </c>
      <c r="K461" s="1" t="n">
        <f aca="false">IF(Search!$D$5="",0,IF(AND(OR(Search!$N$5="",ISNUMBER(SEARCH(Search!$N$5,J461))),OR(Search!$N$6="",ISNUMBER(SEARCH(Search!$N$6,J461))),OR(Search!$N$7="",ISNUMBER(SEARCH(Search!$N$7,J461))),OR(Search!$N$8="",ISNUMBER(SEARCH(Search!$N$8,J461)))),1,0))</f>
        <v>0</v>
      </c>
      <c r="L461" s="1" t="n">
        <f aca="false">L460+K461</f>
        <v>0</v>
      </c>
    </row>
    <row r="462" customFormat="false" ht="54.75" hidden="false" customHeight="true" outlineLevel="0" collapsed="false">
      <c r="A462" s="1" t="s">
        <v>273</v>
      </c>
      <c r="B462" s="1" t="s">
        <v>1221</v>
      </c>
      <c r="C462" s="1" t="n">
        <v>6</v>
      </c>
      <c r="E462" s="46" t="s">
        <v>1283</v>
      </c>
      <c r="F462" s="46" t="s">
        <v>1284</v>
      </c>
      <c r="G462" s="46" t="s">
        <v>1285</v>
      </c>
      <c r="J462" s="46" t="s">
        <v>1286</v>
      </c>
      <c r="K462" s="1" t="n">
        <f aca="false">IF(Search!$D$5="",0,IF(AND(OR(Search!$N$5="",ISNUMBER(SEARCH(Search!$N$5,J462))),OR(Search!$N$6="",ISNUMBER(SEARCH(Search!$N$6,J462))),OR(Search!$N$7="",ISNUMBER(SEARCH(Search!$N$7,J462))),OR(Search!$N$8="",ISNUMBER(SEARCH(Search!$N$8,J462)))),1,0))</f>
        <v>0</v>
      </c>
      <c r="L462" s="1" t="n">
        <f aca="false">L461+K462</f>
        <v>0</v>
      </c>
    </row>
    <row r="463" customFormat="false" ht="15" hidden="false" customHeight="true" outlineLevel="0" collapsed="false">
      <c r="A463" s="1" t="s">
        <v>273</v>
      </c>
      <c r="B463" s="1" t="s">
        <v>1221</v>
      </c>
      <c r="C463" s="1" t="n">
        <v>7</v>
      </c>
      <c r="E463" s="1" t="s">
        <v>1287</v>
      </c>
      <c r="F463" s="1" t="s">
        <v>1288</v>
      </c>
      <c r="G463" s="1" t="s">
        <v>1289</v>
      </c>
      <c r="J463" s="1" t="s">
        <v>1290</v>
      </c>
      <c r="K463" s="1" t="n">
        <f aca="false">IF(Search!$D$5="",0,IF(AND(OR(Search!$N$5="",ISNUMBER(SEARCH(Search!$N$5,J463))),OR(Search!$N$6="",ISNUMBER(SEARCH(Search!$N$6,J463))),OR(Search!$N$7="",ISNUMBER(SEARCH(Search!$N$7,J463))),OR(Search!$N$8="",ISNUMBER(SEARCH(Search!$N$8,J463)))),1,0))</f>
        <v>0</v>
      </c>
      <c r="L463" s="1" t="n">
        <f aca="false">L462+K463</f>
        <v>0</v>
      </c>
    </row>
    <row r="464" customFormat="false" ht="15" hidden="false" customHeight="true" outlineLevel="0" collapsed="false">
      <c r="A464" s="1" t="s">
        <v>273</v>
      </c>
      <c r="B464" s="1" t="s">
        <v>1221</v>
      </c>
      <c r="C464" s="1" t="n">
        <v>8</v>
      </c>
      <c r="E464" s="1" t="s">
        <v>1291</v>
      </c>
      <c r="F464" s="1" t="s">
        <v>1292</v>
      </c>
      <c r="G464" s="1" t="s">
        <v>1293</v>
      </c>
      <c r="J464" s="1" t="s">
        <v>1294</v>
      </c>
      <c r="K464" s="1" t="n">
        <f aca="false">IF(Search!$D$5="",0,IF(AND(OR(Search!$N$5="",ISNUMBER(SEARCH(Search!$N$5,J464))),OR(Search!$N$6="",ISNUMBER(SEARCH(Search!$N$6,J464))),OR(Search!$N$7="",ISNUMBER(SEARCH(Search!$N$7,J464))),OR(Search!$N$8="",ISNUMBER(SEARCH(Search!$N$8,J464)))),1,0))</f>
        <v>0</v>
      </c>
      <c r="L464" s="1" t="n">
        <f aca="false">L463+K464</f>
        <v>0</v>
      </c>
    </row>
    <row r="465" customFormat="false" ht="15" hidden="false" customHeight="true" outlineLevel="0" collapsed="false">
      <c r="A465" s="1" t="s">
        <v>273</v>
      </c>
      <c r="B465" s="1" t="s">
        <v>1221</v>
      </c>
      <c r="C465" s="1" t="n">
        <v>9</v>
      </c>
      <c r="E465" s="1" t="s">
        <v>1295</v>
      </c>
      <c r="F465" s="1" t="s">
        <v>1296</v>
      </c>
      <c r="G465" s="1" t="s">
        <v>1297</v>
      </c>
      <c r="J465" s="1" t="s">
        <v>1298</v>
      </c>
      <c r="K465" s="1" t="n">
        <f aca="false">IF(Search!$D$5="",0,IF(AND(OR(Search!$N$5="",ISNUMBER(SEARCH(Search!$N$5,J465))),OR(Search!$N$6="",ISNUMBER(SEARCH(Search!$N$6,J465))),OR(Search!$N$7="",ISNUMBER(SEARCH(Search!$N$7,J465))),OR(Search!$N$8="",ISNUMBER(SEARCH(Search!$N$8,J465)))),1,0))</f>
        <v>0</v>
      </c>
      <c r="L465" s="1" t="n">
        <f aca="false">L464+K465</f>
        <v>0</v>
      </c>
    </row>
    <row r="466" customFormat="false" ht="15" hidden="false" customHeight="true" outlineLevel="0" collapsed="false">
      <c r="A466" s="1" t="s">
        <v>273</v>
      </c>
      <c r="B466" s="1" t="s">
        <v>1221</v>
      </c>
      <c r="C466" s="1" t="n">
        <v>10</v>
      </c>
      <c r="E466" s="1" t="s">
        <v>1299</v>
      </c>
      <c r="F466" s="1" t="s">
        <v>1300</v>
      </c>
      <c r="G466" s="1" t="s">
        <v>1301</v>
      </c>
      <c r="J466" s="1" t="s">
        <v>1302</v>
      </c>
      <c r="K466" s="1" t="n">
        <f aca="false">IF(Search!$D$5="",0,IF(AND(OR(Search!$N$5="",ISNUMBER(SEARCH(Search!$N$5,J466))),OR(Search!$N$6="",ISNUMBER(SEARCH(Search!$N$6,J466))),OR(Search!$N$7="",ISNUMBER(SEARCH(Search!$N$7,J466))),OR(Search!$N$8="",ISNUMBER(SEARCH(Search!$N$8,J466)))),1,0))</f>
        <v>0</v>
      </c>
      <c r="L466" s="1" t="n">
        <f aca="false">L465+K466</f>
        <v>0</v>
      </c>
    </row>
    <row r="467" customFormat="false" ht="15" hidden="false" customHeight="true" outlineLevel="0" collapsed="false">
      <c r="A467" s="1" t="s">
        <v>273</v>
      </c>
      <c r="B467" s="1" t="s">
        <v>1221</v>
      </c>
      <c r="C467" s="1" t="n">
        <v>11</v>
      </c>
      <c r="E467" s="1" t="s">
        <v>1303</v>
      </c>
      <c r="F467" s="1" t="s">
        <v>1304</v>
      </c>
      <c r="G467" s="1" t="s">
        <v>1305</v>
      </c>
      <c r="J467" s="1" t="s">
        <v>1306</v>
      </c>
      <c r="K467" s="1" t="n">
        <f aca="false">IF(Search!$D$5="",0,IF(AND(OR(Search!$N$5="",ISNUMBER(SEARCH(Search!$N$5,J467))),OR(Search!$N$6="",ISNUMBER(SEARCH(Search!$N$6,J467))),OR(Search!$N$7="",ISNUMBER(SEARCH(Search!$N$7,J467))),OR(Search!$N$8="",ISNUMBER(SEARCH(Search!$N$8,J467)))),1,0))</f>
        <v>0</v>
      </c>
      <c r="L467" s="1" t="n">
        <f aca="false">L466+K467</f>
        <v>0</v>
      </c>
    </row>
    <row r="468" customFormat="false" ht="15" hidden="false" customHeight="true" outlineLevel="0" collapsed="false">
      <c r="A468" s="1" t="s">
        <v>273</v>
      </c>
      <c r="B468" s="1" t="s">
        <v>1221</v>
      </c>
      <c r="C468" s="1" t="n">
        <v>12</v>
      </c>
      <c r="E468" s="1" t="s">
        <v>1307</v>
      </c>
      <c r="F468" s="1" t="s">
        <v>1308</v>
      </c>
      <c r="G468" s="1" t="s">
        <v>1309</v>
      </c>
      <c r="J468" s="1" t="s">
        <v>1310</v>
      </c>
      <c r="K468" s="1" t="n">
        <f aca="false">IF(Search!$D$5="",0,IF(AND(OR(Search!$N$5="",ISNUMBER(SEARCH(Search!$N$5,J468))),OR(Search!$N$6="",ISNUMBER(SEARCH(Search!$N$6,J468))),OR(Search!$N$7="",ISNUMBER(SEARCH(Search!$N$7,J468))),OR(Search!$N$8="",ISNUMBER(SEARCH(Search!$N$8,J468)))),1,0))</f>
        <v>0</v>
      </c>
      <c r="L468" s="1" t="n">
        <f aca="false">L467+K468</f>
        <v>0</v>
      </c>
    </row>
    <row r="469" customFormat="false" ht="15" hidden="false" customHeight="true" outlineLevel="0" collapsed="false">
      <c r="A469" s="1" t="s">
        <v>273</v>
      </c>
      <c r="B469" s="1" t="s">
        <v>1221</v>
      </c>
      <c r="C469" s="1" t="n">
        <v>13</v>
      </c>
      <c r="E469" s="1" t="s">
        <v>1311</v>
      </c>
      <c r="F469" s="1" t="s">
        <v>1312</v>
      </c>
      <c r="G469" s="1" t="s">
        <v>1313</v>
      </c>
      <c r="J469" s="1" t="s">
        <v>1314</v>
      </c>
      <c r="K469" s="1" t="n">
        <f aca="false">IF(Search!$D$5="",0,IF(AND(OR(Search!$N$5="",ISNUMBER(SEARCH(Search!$N$5,J469))),OR(Search!$N$6="",ISNUMBER(SEARCH(Search!$N$6,J469))),OR(Search!$N$7="",ISNUMBER(SEARCH(Search!$N$7,J469))),OR(Search!$N$8="",ISNUMBER(SEARCH(Search!$N$8,J469)))),1,0))</f>
        <v>0</v>
      </c>
      <c r="L469" s="1" t="n">
        <f aca="false">L468+K469</f>
        <v>0</v>
      </c>
    </row>
    <row r="470" customFormat="false" ht="15" hidden="false" customHeight="true" outlineLevel="0" collapsed="false">
      <c r="A470" s="1" t="s">
        <v>273</v>
      </c>
      <c r="B470" s="1" t="s">
        <v>1221</v>
      </c>
      <c r="C470" s="1" t="n">
        <v>14</v>
      </c>
      <c r="E470" s="1" t="s">
        <v>1315</v>
      </c>
      <c r="F470" s="1" t="s">
        <v>1316</v>
      </c>
      <c r="G470" s="1" t="s">
        <v>1317</v>
      </c>
      <c r="J470" s="1" t="s">
        <v>1318</v>
      </c>
      <c r="K470" s="1" t="n">
        <f aca="false">IF(Search!$D$5="",0,IF(AND(OR(Search!$N$5="",ISNUMBER(SEARCH(Search!$N$5,J470))),OR(Search!$N$6="",ISNUMBER(SEARCH(Search!$N$6,J470))),OR(Search!$N$7="",ISNUMBER(SEARCH(Search!$N$7,J470))),OR(Search!$N$8="",ISNUMBER(SEARCH(Search!$N$8,J470)))),1,0))</f>
        <v>0</v>
      </c>
      <c r="L470" s="1" t="n">
        <f aca="false">L469+K470</f>
        <v>0</v>
      </c>
    </row>
    <row r="471" customFormat="false" ht="15" hidden="false" customHeight="true" outlineLevel="0" collapsed="false">
      <c r="A471" s="1" t="s">
        <v>273</v>
      </c>
      <c r="B471" s="1" t="s">
        <v>1221</v>
      </c>
      <c r="C471" s="1" t="n">
        <v>15</v>
      </c>
      <c r="E471" s="1" t="s">
        <v>1319</v>
      </c>
      <c r="F471" s="1" t="s">
        <v>1320</v>
      </c>
      <c r="G471" s="1" t="s">
        <v>1321</v>
      </c>
      <c r="J471" s="1" t="s">
        <v>1322</v>
      </c>
      <c r="K471" s="1" t="n">
        <f aca="false">IF(Search!$D$5="",0,IF(AND(OR(Search!$N$5="",ISNUMBER(SEARCH(Search!$N$5,J471))),OR(Search!$N$6="",ISNUMBER(SEARCH(Search!$N$6,J471))),OR(Search!$N$7="",ISNUMBER(SEARCH(Search!$N$7,J471))),OR(Search!$N$8="",ISNUMBER(SEARCH(Search!$N$8,J471)))),1,0))</f>
        <v>0</v>
      </c>
      <c r="L471" s="1" t="n">
        <f aca="false">L470+K471</f>
        <v>0</v>
      </c>
    </row>
    <row r="472" customFormat="false" ht="15" hidden="false" customHeight="true" outlineLevel="0" collapsed="false">
      <c r="A472" s="1" t="s">
        <v>273</v>
      </c>
      <c r="B472" s="1" t="s">
        <v>1221</v>
      </c>
      <c r="C472" s="1" t="n">
        <v>16</v>
      </c>
      <c r="E472" s="1" t="s">
        <v>1323</v>
      </c>
      <c r="F472" s="1" t="s">
        <v>1324</v>
      </c>
      <c r="G472" s="1" t="s">
        <v>1325</v>
      </c>
      <c r="J472" s="1" t="s">
        <v>1326</v>
      </c>
      <c r="K472" s="1" t="n">
        <f aca="false">IF(Search!$D$5="",0,IF(AND(OR(Search!$N$5="",ISNUMBER(SEARCH(Search!$N$5,J472))),OR(Search!$N$6="",ISNUMBER(SEARCH(Search!$N$6,J472))),OR(Search!$N$7="",ISNUMBER(SEARCH(Search!$N$7,J472))),OR(Search!$N$8="",ISNUMBER(SEARCH(Search!$N$8,J472)))),1,0))</f>
        <v>0</v>
      </c>
      <c r="L472" s="1" t="n">
        <f aca="false">L471+K472</f>
        <v>0</v>
      </c>
    </row>
    <row r="473" customFormat="false" ht="15" hidden="false" customHeight="true" outlineLevel="0" collapsed="false">
      <c r="A473" s="1" t="s">
        <v>273</v>
      </c>
      <c r="B473" s="1" t="s">
        <v>1221</v>
      </c>
      <c r="C473" s="1" t="n">
        <v>17</v>
      </c>
      <c r="E473" s="1" t="s">
        <v>1327</v>
      </c>
      <c r="F473" s="1" t="s">
        <v>1328</v>
      </c>
      <c r="G473" s="1" t="s">
        <v>1329</v>
      </c>
      <c r="J473" s="1" t="s">
        <v>1330</v>
      </c>
      <c r="K473" s="1" t="n">
        <f aca="false">IF(Search!$D$5="",0,IF(AND(OR(Search!$N$5="",ISNUMBER(SEARCH(Search!$N$5,J473))),OR(Search!$N$6="",ISNUMBER(SEARCH(Search!$N$6,J473))),OR(Search!$N$7="",ISNUMBER(SEARCH(Search!$N$7,J473))),OR(Search!$N$8="",ISNUMBER(SEARCH(Search!$N$8,J473)))),1,0))</f>
        <v>0</v>
      </c>
      <c r="L473" s="1" t="n">
        <f aca="false">L472+K473</f>
        <v>0</v>
      </c>
    </row>
    <row r="474" customFormat="false" ht="15" hidden="false" customHeight="true" outlineLevel="0" collapsed="false">
      <c r="A474" s="1" t="s">
        <v>273</v>
      </c>
      <c r="B474" s="1" t="s">
        <v>1221</v>
      </c>
      <c r="C474" s="1" t="n">
        <v>18</v>
      </c>
      <c r="E474" s="1" t="s">
        <v>1331</v>
      </c>
      <c r="F474" s="1" t="s">
        <v>1332</v>
      </c>
      <c r="G474" s="1" t="s">
        <v>1333</v>
      </c>
      <c r="J474" s="1" t="s">
        <v>1334</v>
      </c>
      <c r="K474" s="1" t="n">
        <f aca="false">IF(Search!$D$5="",0,IF(AND(OR(Search!$N$5="",ISNUMBER(SEARCH(Search!$N$5,J474))),OR(Search!$N$6="",ISNUMBER(SEARCH(Search!$N$6,J474))),OR(Search!$N$7="",ISNUMBER(SEARCH(Search!$N$7,J474))),OR(Search!$N$8="",ISNUMBER(SEARCH(Search!$N$8,J474)))),1,0))</f>
        <v>0</v>
      </c>
      <c r="L474" s="1" t="n">
        <f aca="false">L473+K474</f>
        <v>0</v>
      </c>
    </row>
    <row r="475" customFormat="false" ht="15" hidden="false" customHeight="true" outlineLevel="0" collapsed="false">
      <c r="A475" s="1" t="s">
        <v>273</v>
      </c>
      <c r="B475" s="1" t="s">
        <v>1221</v>
      </c>
      <c r="C475" s="1" t="n">
        <v>19</v>
      </c>
      <c r="E475" s="1" t="s">
        <v>1335</v>
      </c>
      <c r="F475" s="1" t="s">
        <v>1336</v>
      </c>
      <c r="G475" s="1" t="s">
        <v>1337</v>
      </c>
      <c r="J475" s="1" t="s">
        <v>1338</v>
      </c>
      <c r="K475" s="1" t="n">
        <f aca="false">IF(Search!$D$5="",0,IF(AND(OR(Search!$N$5="",ISNUMBER(SEARCH(Search!$N$5,J475))),OR(Search!$N$6="",ISNUMBER(SEARCH(Search!$N$6,J475))),OR(Search!$N$7="",ISNUMBER(SEARCH(Search!$N$7,J475))),OR(Search!$N$8="",ISNUMBER(SEARCH(Search!$N$8,J475)))),1,0))</f>
        <v>0</v>
      </c>
      <c r="L475" s="1" t="n">
        <f aca="false">L474+K475</f>
        <v>0</v>
      </c>
    </row>
    <row r="476" customFormat="false" ht="15" hidden="false" customHeight="true" outlineLevel="0" collapsed="false">
      <c r="A476" s="1" t="s">
        <v>273</v>
      </c>
      <c r="B476" s="1" t="s">
        <v>1221</v>
      </c>
      <c r="C476" s="1" t="n">
        <v>20</v>
      </c>
      <c r="E476" s="1" t="s">
        <v>1339</v>
      </c>
      <c r="F476" s="1" t="s">
        <v>1340</v>
      </c>
      <c r="G476" s="1" t="s">
        <v>1341</v>
      </c>
      <c r="J476" s="1" t="s">
        <v>1342</v>
      </c>
      <c r="K476" s="1" t="n">
        <f aca="false">IF(Search!$D$5="",0,IF(AND(OR(Search!$N$5="",ISNUMBER(SEARCH(Search!$N$5,J476))),OR(Search!$N$6="",ISNUMBER(SEARCH(Search!$N$6,J476))),OR(Search!$N$7="",ISNUMBER(SEARCH(Search!$N$7,J476))),OR(Search!$N$8="",ISNUMBER(SEARCH(Search!$N$8,J476)))),1,0))</f>
        <v>0</v>
      </c>
      <c r="L476" s="1" t="n">
        <f aca="false">L475+K476</f>
        <v>0</v>
      </c>
    </row>
    <row r="477" customFormat="false" ht="15" hidden="false" customHeight="true" outlineLevel="0" collapsed="false">
      <c r="A477" s="1" t="s">
        <v>273</v>
      </c>
      <c r="B477" s="1" t="s">
        <v>1221</v>
      </c>
      <c r="C477" s="1" t="n">
        <v>21</v>
      </c>
      <c r="E477" s="1" t="s">
        <v>1343</v>
      </c>
      <c r="F477" s="1" t="s">
        <v>1296</v>
      </c>
      <c r="G477" s="1" t="s">
        <v>1297</v>
      </c>
      <c r="J477" s="1" t="s">
        <v>1344</v>
      </c>
      <c r="K477" s="1" t="n">
        <f aca="false">IF(Search!$D$5="",0,IF(AND(OR(Search!$N$5="",ISNUMBER(SEARCH(Search!$N$5,J477))),OR(Search!$N$6="",ISNUMBER(SEARCH(Search!$N$6,J477))),OR(Search!$N$7="",ISNUMBER(SEARCH(Search!$N$7,J477))),OR(Search!$N$8="",ISNUMBER(SEARCH(Search!$N$8,J477)))),1,0))</f>
        <v>0</v>
      </c>
      <c r="L477" s="1" t="n">
        <f aca="false">L476+K477</f>
        <v>0</v>
      </c>
    </row>
    <row r="478" customFormat="false" ht="15" hidden="false" customHeight="true" outlineLevel="0" collapsed="false">
      <c r="A478" s="1" t="s">
        <v>273</v>
      </c>
      <c r="B478" s="1" t="s">
        <v>1221</v>
      </c>
      <c r="C478" s="1" t="n">
        <v>22</v>
      </c>
      <c r="E478" s="1" t="s">
        <v>1345</v>
      </c>
      <c r="F478" s="1" t="s">
        <v>1346</v>
      </c>
      <c r="G478" s="1" t="s">
        <v>1347</v>
      </c>
      <c r="J478" s="1" t="s">
        <v>1348</v>
      </c>
      <c r="K478" s="1" t="n">
        <f aca="false">IF(Search!$D$5="",0,IF(AND(OR(Search!$N$5="",ISNUMBER(SEARCH(Search!$N$5,J478))),OR(Search!$N$6="",ISNUMBER(SEARCH(Search!$N$6,J478))),OR(Search!$N$7="",ISNUMBER(SEARCH(Search!$N$7,J478))),OR(Search!$N$8="",ISNUMBER(SEARCH(Search!$N$8,J478)))),1,0))</f>
        <v>0</v>
      </c>
      <c r="L478" s="1" t="n">
        <f aca="false">L477+K478</f>
        <v>0</v>
      </c>
    </row>
    <row r="479" customFormat="false" ht="15" hidden="false" customHeight="true" outlineLevel="0" collapsed="false">
      <c r="A479" s="1" t="s">
        <v>273</v>
      </c>
      <c r="B479" s="1" t="s">
        <v>1221</v>
      </c>
      <c r="C479" s="1" t="n">
        <v>23</v>
      </c>
      <c r="E479" s="1" t="s">
        <v>1349</v>
      </c>
      <c r="F479" s="1" t="s">
        <v>1350</v>
      </c>
      <c r="G479" s="1" t="s">
        <v>1351</v>
      </c>
      <c r="J479" s="1" t="s">
        <v>1352</v>
      </c>
      <c r="K479" s="1" t="n">
        <f aca="false">IF(Search!$D$5="",0,IF(AND(OR(Search!$N$5="",ISNUMBER(SEARCH(Search!$N$5,J479))),OR(Search!$N$6="",ISNUMBER(SEARCH(Search!$N$6,J479))),OR(Search!$N$7="",ISNUMBER(SEARCH(Search!$N$7,J479))),OR(Search!$N$8="",ISNUMBER(SEARCH(Search!$N$8,J479)))),1,0))</f>
        <v>0</v>
      </c>
      <c r="L479" s="1" t="n">
        <f aca="false">L478+K479</f>
        <v>0</v>
      </c>
    </row>
    <row r="480" customFormat="false" ht="15" hidden="false" customHeight="true" outlineLevel="0" collapsed="false">
      <c r="A480" s="1" t="s">
        <v>273</v>
      </c>
      <c r="B480" s="1" t="s">
        <v>1221</v>
      </c>
      <c r="C480" s="1" t="n">
        <v>24</v>
      </c>
      <c r="E480" s="1" t="s">
        <v>1353</v>
      </c>
      <c r="F480" s="1" t="s">
        <v>1354</v>
      </c>
      <c r="G480" s="1" t="s">
        <v>1355</v>
      </c>
      <c r="J480" s="1" t="s">
        <v>1356</v>
      </c>
      <c r="K480" s="1" t="n">
        <f aca="false">IF(Search!$D$5="",0,IF(AND(OR(Search!$N$5="",ISNUMBER(SEARCH(Search!$N$5,J480))),OR(Search!$N$6="",ISNUMBER(SEARCH(Search!$N$6,J480))),OR(Search!$N$7="",ISNUMBER(SEARCH(Search!$N$7,J480))),OR(Search!$N$8="",ISNUMBER(SEARCH(Search!$N$8,J480)))),1,0))</f>
        <v>0</v>
      </c>
      <c r="L480" s="1" t="n">
        <f aca="false">L479+K480</f>
        <v>0</v>
      </c>
    </row>
    <row r="481" customFormat="false" ht="15" hidden="false" customHeight="true" outlineLevel="0" collapsed="false">
      <c r="A481" s="1" t="s">
        <v>273</v>
      </c>
      <c r="B481" s="1" t="s">
        <v>1221</v>
      </c>
      <c r="C481" s="1" t="n">
        <v>25</v>
      </c>
      <c r="E481" s="1" t="s">
        <v>1357</v>
      </c>
      <c r="F481" s="1" t="s">
        <v>1358</v>
      </c>
      <c r="G481" s="1" t="s">
        <v>1359</v>
      </c>
      <c r="J481" s="1" t="s">
        <v>1360</v>
      </c>
      <c r="K481" s="1" t="n">
        <f aca="false">IF(Search!$D$5="",0,IF(AND(OR(Search!$N$5="",ISNUMBER(SEARCH(Search!$N$5,J481))),OR(Search!$N$6="",ISNUMBER(SEARCH(Search!$N$6,J481))),OR(Search!$N$7="",ISNUMBER(SEARCH(Search!$N$7,J481))),OR(Search!$N$8="",ISNUMBER(SEARCH(Search!$N$8,J481)))),1,0))</f>
        <v>0</v>
      </c>
      <c r="L481" s="1" t="n">
        <f aca="false">L480+K481</f>
        <v>0</v>
      </c>
    </row>
    <row r="482" customFormat="false" ht="15" hidden="false" customHeight="true" outlineLevel="0" collapsed="false">
      <c r="A482" s="1" t="s">
        <v>273</v>
      </c>
      <c r="B482" s="1" t="s">
        <v>1221</v>
      </c>
      <c r="C482" s="1" t="n">
        <v>26</v>
      </c>
      <c r="E482" s="1" t="s">
        <v>1361</v>
      </c>
      <c r="F482" s="1" t="s">
        <v>1362</v>
      </c>
      <c r="G482" s="1" t="s">
        <v>1363</v>
      </c>
      <c r="J482" s="1" t="s">
        <v>1364</v>
      </c>
      <c r="K482" s="1" t="n">
        <f aca="false">IF(Search!$D$5="",0,IF(AND(OR(Search!$N$5="",ISNUMBER(SEARCH(Search!$N$5,J482))),OR(Search!$N$6="",ISNUMBER(SEARCH(Search!$N$6,J482))),OR(Search!$N$7="",ISNUMBER(SEARCH(Search!$N$7,J482))),OR(Search!$N$8="",ISNUMBER(SEARCH(Search!$N$8,J482)))),1,0))</f>
        <v>0</v>
      </c>
      <c r="L482" s="1" t="n">
        <f aca="false">L481+K482</f>
        <v>0</v>
      </c>
    </row>
    <row r="483" customFormat="false" ht="15" hidden="false" customHeight="true" outlineLevel="0" collapsed="false">
      <c r="A483" s="1" t="s">
        <v>273</v>
      </c>
      <c r="B483" s="1" t="s">
        <v>1221</v>
      </c>
      <c r="C483" s="1" t="n">
        <v>27</v>
      </c>
      <c r="E483" s="1" t="s">
        <v>1365</v>
      </c>
      <c r="F483" s="1" t="s">
        <v>1300</v>
      </c>
      <c r="G483" s="1" t="s">
        <v>1301</v>
      </c>
      <c r="J483" s="1" t="s">
        <v>1366</v>
      </c>
      <c r="K483" s="1" t="n">
        <f aca="false">IF(Search!$D$5="",0,IF(AND(OR(Search!$N$5="",ISNUMBER(SEARCH(Search!$N$5,J483))),OR(Search!$N$6="",ISNUMBER(SEARCH(Search!$N$6,J483))),OR(Search!$N$7="",ISNUMBER(SEARCH(Search!$N$7,J483))),OR(Search!$N$8="",ISNUMBER(SEARCH(Search!$N$8,J483)))),1,0))</f>
        <v>0</v>
      </c>
      <c r="L483" s="1" t="n">
        <f aca="false">L482+K483</f>
        <v>0</v>
      </c>
    </row>
    <row r="484" customFormat="false" ht="15" hidden="false" customHeight="true" outlineLevel="0" collapsed="false">
      <c r="A484" s="1" t="s">
        <v>273</v>
      </c>
      <c r="B484" s="1" t="s">
        <v>1221</v>
      </c>
      <c r="C484" s="1" t="n">
        <v>28</v>
      </c>
      <c r="E484" s="1" t="s">
        <v>1367</v>
      </c>
      <c r="F484" s="1" t="s">
        <v>1368</v>
      </c>
      <c r="G484" s="1" t="s">
        <v>1369</v>
      </c>
      <c r="J484" s="1" t="s">
        <v>1370</v>
      </c>
      <c r="K484" s="1" t="n">
        <f aca="false">IF(Search!$D$5="",0,IF(AND(OR(Search!$N$5="",ISNUMBER(SEARCH(Search!$N$5,J484))),OR(Search!$N$6="",ISNUMBER(SEARCH(Search!$N$6,J484))),OR(Search!$N$7="",ISNUMBER(SEARCH(Search!$N$7,J484))),OR(Search!$N$8="",ISNUMBER(SEARCH(Search!$N$8,J484)))),1,0))</f>
        <v>0</v>
      </c>
      <c r="L484" s="1" t="n">
        <f aca="false">L483+K484</f>
        <v>0</v>
      </c>
    </row>
    <row r="485" customFormat="false" ht="15" hidden="false" customHeight="true" outlineLevel="0" collapsed="false">
      <c r="A485" s="1" t="s">
        <v>273</v>
      </c>
      <c r="B485" s="1" t="s">
        <v>1221</v>
      </c>
      <c r="C485" s="1" t="n">
        <v>29</v>
      </c>
      <c r="E485" s="1" t="s">
        <v>1371</v>
      </c>
      <c r="F485" s="1" t="s">
        <v>649</v>
      </c>
      <c r="G485" s="1" t="s">
        <v>1372</v>
      </c>
      <c r="J485" s="1" t="s">
        <v>1373</v>
      </c>
      <c r="K485" s="1" t="n">
        <f aca="false">IF(Search!$D$5="",0,IF(AND(OR(Search!$N$5="",ISNUMBER(SEARCH(Search!$N$5,J485))),OR(Search!$N$6="",ISNUMBER(SEARCH(Search!$N$6,J485))),OR(Search!$N$7="",ISNUMBER(SEARCH(Search!$N$7,J485))),OR(Search!$N$8="",ISNUMBER(SEARCH(Search!$N$8,J485)))),1,0))</f>
        <v>0</v>
      </c>
      <c r="L485" s="1" t="n">
        <f aca="false">L484+K485</f>
        <v>0</v>
      </c>
    </row>
    <row r="486" customFormat="false" ht="15" hidden="false" customHeight="true" outlineLevel="0" collapsed="false">
      <c r="A486" s="1" t="s">
        <v>273</v>
      </c>
      <c r="B486" s="1" t="s">
        <v>1221</v>
      </c>
      <c r="C486" s="1" t="n">
        <v>30</v>
      </c>
      <c r="E486" s="1" t="s">
        <v>1374</v>
      </c>
      <c r="F486" s="1" t="s">
        <v>1350</v>
      </c>
      <c r="G486" s="1" t="s">
        <v>1351</v>
      </c>
      <c r="J486" s="1" t="s">
        <v>1375</v>
      </c>
      <c r="K486" s="1" t="n">
        <f aca="false">IF(Search!$D$5="",0,IF(AND(OR(Search!$N$5="",ISNUMBER(SEARCH(Search!$N$5,J486))),OR(Search!$N$6="",ISNUMBER(SEARCH(Search!$N$6,J486))),OR(Search!$N$7="",ISNUMBER(SEARCH(Search!$N$7,J486))),OR(Search!$N$8="",ISNUMBER(SEARCH(Search!$N$8,J486)))),1,0))</f>
        <v>0</v>
      </c>
      <c r="L486" s="1" t="n">
        <f aca="false">L485+K486</f>
        <v>0</v>
      </c>
    </row>
    <row r="487" customFormat="false" ht="15" hidden="false" customHeight="true" outlineLevel="0" collapsed="false">
      <c r="A487" s="1" t="s">
        <v>273</v>
      </c>
      <c r="B487" s="1" t="s">
        <v>1221</v>
      </c>
      <c r="C487" s="1" t="n">
        <v>31</v>
      </c>
      <c r="E487" s="1" t="s">
        <v>1376</v>
      </c>
      <c r="F487" s="1" t="s">
        <v>1377</v>
      </c>
      <c r="G487" s="1" t="s">
        <v>1378</v>
      </c>
      <c r="J487" s="1" t="s">
        <v>1379</v>
      </c>
      <c r="K487" s="1" t="n">
        <f aca="false">IF(Search!$D$5="",0,IF(AND(OR(Search!$N$5="",ISNUMBER(SEARCH(Search!$N$5,J487))),OR(Search!$N$6="",ISNUMBER(SEARCH(Search!$N$6,J487))),OR(Search!$N$7="",ISNUMBER(SEARCH(Search!$N$7,J487))),OR(Search!$N$8="",ISNUMBER(SEARCH(Search!$N$8,J487)))),1,0))</f>
        <v>0</v>
      </c>
      <c r="L487" s="1" t="n">
        <f aca="false">L486+K487</f>
        <v>0</v>
      </c>
    </row>
    <row r="488" customFormat="false" ht="15" hidden="false" customHeight="true" outlineLevel="0" collapsed="false">
      <c r="A488" s="1" t="s">
        <v>273</v>
      </c>
      <c r="B488" s="1" t="s">
        <v>1221</v>
      </c>
      <c r="C488" s="1" t="n">
        <v>32</v>
      </c>
      <c r="E488" s="1" t="s">
        <v>1380</v>
      </c>
      <c r="F488" s="1" t="s">
        <v>1381</v>
      </c>
      <c r="G488" s="1" t="s">
        <v>1382</v>
      </c>
      <c r="J488" s="1" t="s">
        <v>1383</v>
      </c>
      <c r="K488" s="1" t="n">
        <f aca="false">IF(Search!$D$5="",0,IF(AND(OR(Search!$N$5="",ISNUMBER(SEARCH(Search!$N$5,J488))),OR(Search!$N$6="",ISNUMBER(SEARCH(Search!$N$6,J488))),OR(Search!$N$7="",ISNUMBER(SEARCH(Search!$N$7,J488))),OR(Search!$N$8="",ISNUMBER(SEARCH(Search!$N$8,J488)))),1,0))</f>
        <v>0</v>
      </c>
      <c r="L488" s="1" t="n">
        <f aca="false">L487+K488</f>
        <v>0</v>
      </c>
    </row>
    <row r="489" customFormat="false" ht="15" hidden="false" customHeight="true" outlineLevel="0" collapsed="false">
      <c r="A489" s="1" t="s">
        <v>273</v>
      </c>
      <c r="B489" s="1" t="s">
        <v>1221</v>
      </c>
      <c r="C489" s="1" t="n">
        <v>33</v>
      </c>
      <c r="E489" s="1" t="s">
        <v>1384</v>
      </c>
      <c r="F489" s="1" t="s">
        <v>1385</v>
      </c>
      <c r="G489" s="1" t="s">
        <v>1386</v>
      </c>
      <c r="J489" s="1" t="s">
        <v>1387</v>
      </c>
      <c r="K489" s="1" t="n">
        <f aca="false">IF(Search!$D$5="",0,IF(AND(OR(Search!$N$5="",ISNUMBER(SEARCH(Search!$N$5,J489))),OR(Search!$N$6="",ISNUMBER(SEARCH(Search!$N$6,J489))),OR(Search!$N$7="",ISNUMBER(SEARCH(Search!$N$7,J489))),OR(Search!$N$8="",ISNUMBER(SEARCH(Search!$N$8,J489)))),1,0))</f>
        <v>0</v>
      </c>
      <c r="L489" s="1" t="n">
        <f aca="false">L488+K489</f>
        <v>0</v>
      </c>
    </row>
    <row r="490" customFormat="false" ht="15" hidden="false" customHeight="true" outlineLevel="0" collapsed="false">
      <c r="A490" s="1" t="s">
        <v>273</v>
      </c>
      <c r="B490" s="1" t="s">
        <v>1221</v>
      </c>
      <c r="C490" s="1" t="n">
        <v>34</v>
      </c>
      <c r="E490" s="1" t="s">
        <v>1388</v>
      </c>
      <c r="F490" s="1" t="s">
        <v>1389</v>
      </c>
      <c r="G490" s="1" t="s">
        <v>1390</v>
      </c>
      <c r="J490" s="1" t="s">
        <v>1391</v>
      </c>
      <c r="K490" s="1" t="n">
        <f aca="false">IF(Search!$D$5="",0,IF(AND(OR(Search!$N$5="",ISNUMBER(SEARCH(Search!$N$5,J490))),OR(Search!$N$6="",ISNUMBER(SEARCH(Search!$N$6,J490))),OR(Search!$N$7="",ISNUMBER(SEARCH(Search!$N$7,J490))),OR(Search!$N$8="",ISNUMBER(SEARCH(Search!$N$8,J490)))),1,0))</f>
        <v>0</v>
      </c>
      <c r="L490" s="1" t="n">
        <f aca="false">L489+K490</f>
        <v>0</v>
      </c>
    </row>
    <row r="491" customFormat="false" ht="15" hidden="false" customHeight="true" outlineLevel="0" collapsed="false">
      <c r="A491" s="1" t="s">
        <v>273</v>
      </c>
      <c r="B491" s="1" t="s">
        <v>1221</v>
      </c>
      <c r="C491" s="1" t="n">
        <v>35</v>
      </c>
      <c r="E491" s="1" t="s">
        <v>1392</v>
      </c>
      <c r="F491" s="1" t="s">
        <v>1393</v>
      </c>
      <c r="G491" s="1" t="s">
        <v>1394</v>
      </c>
      <c r="J491" s="1" t="s">
        <v>1395</v>
      </c>
      <c r="K491" s="1" t="n">
        <f aca="false">IF(Search!$D$5="",0,IF(AND(OR(Search!$N$5="",ISNUMBER(SEARCH(Search!$N$5,J491))),OR(Search!$N$6="",ISNUMBER(SEARCH(Search!$N$6,J491))),OR(Search!$N$7="",ISNUMBER(SEARCH(Search!$N$7,J491))),OR(Search!$N$8="",ISNUMBER(SEARCH(Search!$N$8,J491)))),1,0))</f>
        <v>0</v>
      </c>
      <c r="L491" s="1" t="n">
        <f aca="false">L490+K491</f>
        <v>0</v>
      </c>
    </row>
    <row r="492" customFormat="false" ht="15" hidden="false" customHeight="true" outlineLevel="0" collapsed="false">
      <c r="A492" s="1" t="s">
        <v>273</v>
      </c>
      <c r="B492" s="1" t="s">
        <v>1221</v>
      </c>
      <c r="C492" s="1" t="n">
        <v>36</v>
      </c>
      <c r="E492" s="1" t="s">
        <v>1396</v>
      </c>
      <c r="F492" s="1" t="s">
        <v>1397</v>
      </c>
      <c r="G492" s="1" t="s">
        <v>1398</v>
      </c>
      <c r="J492" s="1" t="s">
        <v>1399</v>
      </c>
      <c r="K492" s="1" t="n">
        <f aca="false">IF(Search!$D$5="",0,IF(AND(OR(Search!$N$5="",ISNUMBER(SEARCH(Search!$N$5,J492))),OR(Search!$N$6="",ISNUMBER(SEARCH(Search!$N$6,J492))),OR(Search!$N$7="",ISNUMBER(SEARCH(Search!$N$7,J492))),OR(Search!$N$8="",ISNUMBER(SEARCH(Search!$N$8,J492)))),1,0))</f>
        <v>0</v>
      </c>
      <c r="L492" s="1" t="n">
        <f aca="false">L491+K492</f>
        <v>0</v>
      </c>
    </row>
    <row r="493" customFormat="false" ht="15" hidden="false" customHeight="true" outlineLevel="0" collapsed="false">
      <c r="A493" s="1" t="s">
        <v>273</v>
      </c>
      <c r="B493" s="1" t="s">
        <v>1221</v>
      </c>
      <c r="C493" s="1" t="n">
        <v>37</v>
      </c>
      <c r="E493" s="1" t="s">
        <v>1400</v>
      </c>
      <c r="F493" s="1" t="s">
        <v>1401</v>
      </c>
      <c r="G493" s="1" t="s">
        <v>1402</v>
      </c>
      <c r="J493" s="1" t="s">
        <v>1403</v>
      </c>
      <c r="K493" s="1" t="n">
        <f aca="false">IF(Search!$D$5="",0,IF(AND(OR(Search!$N$5="",ISNUMBER(SEARCH(Search!$N$5,J493))),OR(Search!$N$6="",ISNUMBER(SEARCH(Search!$N$6,J493))),OR(Search!$N$7="",ISNUMBER(SEARCH(Search!$N$7,J493))),OR(Search!$N$8="",ISNUMBER(SEARCH(Search!$N$8,J493)))),1,0))</f>
        <v>0</v>
      </c>
      <c r="L493" s="1" t="n">
        <f aca="false">L492+K493</f>
        <v>0</v>
      </c>
    </row>
    <row r="494" customFormat="false" ht="15" hidden="false" customHeight="true" outlineLevel="0" collapsed="false">
      <c r="A494" s="1" t="s">
        <v>273</v>
      </c>
      <c r="B494" s="1" t="s">
        <v>1221</v>
      </c>
      <c r="C494" s="1" t="n">
        <v>38</v>
      </c>
      <c r="E494" s="1" t="s">
        <v>1404</v>
      </c>
      <c r="F494" s="1" t="s">
        <v>1405</v>
      </c>
      <c r="G494" s="1" t="s">
        <v>1406</v>
      </c>
      <c r="J494" s="1" t="s">
        <v>1407</v>
      </c>
      <c r="K494" s="1" t="n">
        <f aca="false">IF(Search!$D$5="",0,IF(AND(OR(Search!$N$5="",ISNUMBER(SEARCH(Search!$N$5,J494))),OR(Search!$N$6="",ISNUMBER(SEARCH(Search!$N$6,J494))),OR(Search!$N$7="",ISNUMBER(SEARCH(Search!$N$7,J494))),OR(Search!$N$8="",ISNUMBER(SEARCH(Search!$N$8,J494)))),1,0))</f>
        <v>0</v>
      </c>
      <c r="L494" s="1" t="n">
        <f aca="false">L493+K494</f>
        <v>0</v>
      </c>
    </row>
    <row r="495" customFormat="false" ht="15" hidden="false" customHeight="true" outlineLevel="0" collapsed="false">
      <c r="A495" s="1" t="s">
        <v>273</v>
      </c>
      <c r="B495" s="1" t="s">
        <v>1221</v>
      </c>
      <c r="C495" s="1" t="n">
        <v>39</v>
      </c>
      <c r="E495" s="1" t="s">
        <v>1408</v>
      </c>
      <c r="F495" s="1" t="s">
        <v>1409</v>
      </c>
      <c r="G495" s="1" t="s">
        <v>1410</v>
      </c>
      <c r="J495" s="1" t="s">
        <v>1411</v>
      </c>
      <c r="K495" s="1" t="n">
        <f aca="false">IF(Search!$D$5="",0,IF(AND(OR(Search!$N$5="",ISNUMBER(SEARCH(Search!$N$5,J495))),OR(Search!$N$6="",ISNUMBER(SEARCH(Search!$N$6,J495))),OR(Search!$N$7="",ISNUMBER(SEARCH(Search!$N$7,J495))),OR(Search!$N$8="",ISNUMBER(SEARCH(Search!$N$8,J495)))),1,0))</f>
        <v>0</v>
      </c>
      <c r="L495" s="1" t="n">
        <f aca="false">L494+K495</f>
        <v>0</v>
      </c>
    </row>
    <row r="496" customFormat="false" ht="15" hidden="false" customHeight="true" outlineLevel="0" collapsed="false">
      <c r="A496" s="1" t="s">
        <v>273</v>
      </c>
      <c r="B496" s="1" t="s">
        <v>1221</v>
      </c>
      <c r="C496" s="1" t="n">
        <v>40</v>
      </c>
      <c r="E496" s="1" t="s">
        <v>1412</v>
      </c>
      <c r="F496" s="1" t="s">
        <v>1413</v>
      </c>
      <c r="G496" s="1" t="s">
        <v>1414</v>
      </c>
      <c r="J496" s="1" t="s">
        <v>1415</v>
      </c>
      <c r="K496" s="1" t="n">
        <f aca="false">IF(Search!$D$5="",0,IF(AND(OR(Search!$N$5="",ISNUMBER(SEARCH(Search!$N$5,J496))),OR(Search!$N$6="",ISNUMBER(SEARCH(Search!$N$6,J496))),OR(Search!$N$7="",ISNUMBER(SEARCH(Search!$N$7,J496))),OR(Search!$N$8="",ISNUMBER(SEARCH(Search!$N$8,J496)))),1,0))</f>
        <v>0</v>
      </c>
      <c r="L496" s="1" t="n">
        <f aca="false">L495+K496</f>
        <v>0</v>
      </c>
    </row>
    <row r="497" customFormat="false" ht="15" hidden="false" customHeight="true" outlineLevel="0" collapsed="false">
      <c r="A497" s="1" t="s">
        <v>273</v>
      </c>
      <c r="B497" s="1" t="s">
        <v>1221</v>
      </c>
      <c r="C497" s="1" t="n">
        <v>41</v>
      </c>
      <c r="E497" s="1" t="s">
        <v>1416</v>
      </c>
      <c r="F497" s="1" t="s">
        <v>1417</v>
      </c>
      <c r="G497" s="1" t="s">
        <v>1418</v>
      </c>
      <c r="J497" s="1" t="s">
        <v>1419</v>
      </c>
      <c r="K497" s="1" t="n">
        <f aca="false">IF(Search!$D$5="",0,IF(AND(OR(Search!$N$5="",ISNUMBER(SEARCH(Search!$N$5,J497))),OR(Search!$N$6="",ISNUMBER(SEARCH(Search!$N$6,J497))),OR(Search!$N$7="",ISNUMBER(SEARCH(Search!$N$7,J497))),OR(Search!$N$8="",ISNUMBER(SEARCH(Search!$N$8,J497)))),1,0))</f>
        <v>0</v>
      </c>
      <c r="L497" s="1" t="n">
        <f aca="false">L496+K497</f>
        <v>0</v>
      </c>
    </row>
    <row r="498" customFormat="false" ht="15" hidden="false" customHeight="true" outlineLevel="0" collapsed="false">
      <c r="A498" s="1" t="s">
        <v>273</v>
      </c>
      <c r="B498" s="1" t="s">
        <v>1221</v>
      </c>
      <c r="C498" s="1" t="n">
        <v>42</v>
      </c>
      <c r="E498" s="1" t="s">
        <v>1420</v>
      </c>
      <c r="F498" s="1" t="s">
        <v>1421</v>
      </c>
      <c r="G498" s="1" t="s">
        <v>1422</v>
      </c>
      <c r="J498" s="1" t="s">
        <v>1423</v>
      </c>
      <c r="K498" s="1" t="n">
        <f aca="false">IF(Search!$D$5="",0,IF(AND(OR(Search!$N$5="",ISNUMBER(SEARCH(Search!$N$5,J498))),OR(Search!$N$6="",ISNUMBER(SEARCH(Search!$N$6,J498))),OR(Search!$N$7="",ISNUMBER(SEARCH(Search!$N$7,J498))),OR(Search!$N$8="",ISNUMBER(SEARCH(Search!$N$8,J498)))),1,0))</f>
        <v>0</v>
      </c>
      <c r="L498" s="1" t="n">
        <f aca="false">L497+K498</f>
        <v>0</v>
      </c>
    </row>
    <row r="499" customFormat="false" ht="15" hidden="false" customHeight="true" outlineLevel="0" collapsed="false">
      <c r="A499" s="1" t="s">
        <v>273</v>
      </c>
      <c r="B499" s="1" t="s">
        <v>1221</v>
      </c>
      <c r="C499" s="1" t="n">
        <v>43</v>
      </c>
      <c r="E499" s="1" t="s">
        <v>1424</v>
      </c>
      <c r="F499" s="1" t="s">
        <v>1425</v>
      </c>
      <c r="G499" s="1" t="s">
        <v>1426</v>
      </c>
      <c r="J499" s="1" t="s">
        <v>1427</v>
      </c>
      <c r="K499" s="1" t="n">
        <f aca="false">IF(Search!$D$5="",0,IF(AND(OR(Search!$N$5="",ISNUMBER(SEARCH(Search!$N$5,J499))),OR(Search!$N$6="",ISNUMBER(SEARCH(Search!$N$6,J499))),OR(Search!$N$7="",ISNUMBER(SEARCH(Search!$N$7,J499))),OR(Search!$N$8="",ISNUMBER(SEARCH(Search!$N$8,J499)))),1,0))</f>
        <v>0</v>
      </c>
      <c r="L499" s="1" t="n">
        <f aca="false">L498+K499</f>
        <v>0</v>
      </c>
    </row>
    <row r="500" customFormat="false" ht="15" hidden="false" customHeight="true" outlineLevel="0" collapsed="false">
      <c r="A500" s="1" t="s">
        <v>273</v>
      </c>
      <c r="B500" s="1" t="s">
        <v>1221</v>
      </c>
      <c r="C500" s="1" t="n">
        <v>44</v>
      </c>
      <c r="E500" s="1" t="s">
        <v>1428</v>
      </c>
      <c r="F500" s="1" t="s">
        <v>1429</v>
      </c>
      <c r="G500" s="1" t="s">
        <v>1430</v>
      </c>
      <c r="J500" s="1" t="s">
        <v>1431</v>
      </c>
      <c r="K500" s="1" t="n">
        <f aca="false">IF(Search!$D$5="",0,IF(AND(OR(Search!$N$5="",ISNUMBER(SEARCH(Search!$N$5,J500))),OR(Search!$N$6="",ISNUMBER(SEARCH(Search!$N$6,J500))),OR(Search!$N$7="",ISNUMBER(SEARCH(Search!$N$7,J500))),OR(Search!$N$8="",ISNUMBER(SEARCH(Search!$N$8,J500)))),1,0))</f>
        <v>0</v>
      </c>
      <c r="L500" s="1" t="n">
        <f aca="false">L499+K500</f>
        <v>0</v>
      </c>
    </row>
    <row r="501" customFormat="false" ht="15" hidden="false" customHeight="true" outlineLevel="0" collapsed="false">
      <c r="A501" s="1" t="s">
        <v>273</v>
      </c>
      <c r="B501" s="1" t="s">
        <v>1221</v>
      </c>
      <c r="C501" s="1" t="n">
        <v>45</v>
      </c>
      <c r="E501" s="1" t="s">
        <v>1432</v>
      </c>
      <c r="F501" s="1" t="s">
        <v>1433</v>
      </c>
      <c r="G501" s="1" t="s">
        <v>1434</v>
      </c>
      <c r="J501" s="1" t="s">
        <v>1435</v>
      </c>
      <c r="K501" s="1" t="n">
        <f aca="false">IF(Search!$D$5="",0,IF(AND(OR(Search!$N$5="",ISNUMBER(SEARCH(Search!$N$5,J501))),OR(Search!$N$6="",ISNUMBER(SEARCH(Search!$N$6,J501))),OR(Search!$N$7="",ISNUMBER(SEARCH(Search!$N$7,J501))),OR(Search!$N$8="",ISNUMBER(SEARCH(Search!$N$8,J501)))),1,0))</f>
        <v>0</v>
      </c>
      <c r="L501" s="1" t="n">
        <f aca="false">L500+K501</f>
        <v>0</v>
      </c>
    </row>
    <row r="502" customFormat="false" ht="15" hidden="false" customHeight="true" outlineLevel="0" collapsed="false">
      <c r="A502" s="1" t="s">
        <v>273</v>
      </c>
      <c r="B502" s="1" t="s">
        <v>1221</v>
      </c>
      <c r="C502" s="1" t="n">
        <v>46</v>
      </c>
      <c r="E502" s="1" t="s">
        <v>1436</v>
      </c>
      <c r="F502" s="1" t="s">
        <v>1437</v>
      </c>
      <c r="G502" s="1" t="s">
        <v>1438</v>
      </c>
      <c r="J502" s="1" t="s">
        <v>1439</v>
      </c>
      <c r="K502" s="1" t="n">
        <f aca="false">IF(Search!$D$5="",0,IF(AND(OR(Search!$N$5="",ISNUMBER(SEARCH(Search!$N$5,J502))),OR(Search!$N$6="",ISNUMBER(SEARCH(Search!$N$6,J502))),OR(Search!$N$7="",ISNUMBER(SEARCH(Search!$N$7,J502))),OR(Search!$N$8="",ISNUMBER(SEARCH(Search!$N$8,J502)))),1,0))</f>
        <v>0</v>
      </c>
      <c r="L502" s="1" t="n">
        <f aca="false">L501+K502</f>
        <v>0</v>
      </c>
    </row>
    <row r="503" customFormat="false" ht="15" hidden="false" customHeight="true" outlineLevel="0" collapsed="false">
      <c r="A503" s="1" t="s">
        <v>273</v>
      </c>
      <c r="B503" s="1" t="s">
        <v>1221</v>
      </c>
      <c r="C503" s="1" t="n">
        <v>47</v>
      </c>
      <c r="E503" s="1" t="s">
        <v>1440</v>
      </c>
      <c r="F503" s="1" t="s">
        <v>1441</v>
      </c>
      <c r="G503" s="1" t="s">
        <v>1442</v>
      </c>
      <c r="J503" s="1" t="s">
        <v>1443</v>
      </c>
      <c r="K503" s="1" t="n">
        <f aca="false">IF(Search!$D$5="",0,IF(AND(OR(Search!$N$5="",ISNUMBER(SEARCH(Search!$N$5,J503))),OR(Search!$N$6="",ISNUMBER(SEARCH(Search!$N$6,J503))),OR(Search!$N$7="",ISNUMBER(SEARCH(Search!$N$7,J503))),OR(Search!$N$8="",ISNUMBER(SEARCH(Search!$N$8,J503)))),1,0))</f>
        <v>0</v>
      </c>
      <c r="L503" s="1" t="n">
        <f aca="false">L502+K503</f>
        <v>0</v>
      </c>
    </row>
    <row r="504" customFormat="false" ht="15" hidden="false" customHeight="true" outlineLevel="0" collapsed="false">
      <c r="A504" s="1" t="s">
        <v>273</v>
      </c>
      <c r="B504" s="1" t="s">
        <v>1221</v>
      </c>
      <c r="C504" s="1" t="n">
        <v>48</v>
      </c>
      <c r="E504" s="1" t="s">
        <v>1444</v>
      </c>
      <c r="F504" s="1" t="s">
        <v>1445</v>
      </c>
      <c r="G504" s="1" t="s">
        <v>1446</v>
      </c>
      <c r="J504" s="1" t="s">
        <v>1447</v>
      </c>
      <c r="K504" s="1" t="n">
        <f aca="false">IF(Search!$D$5="",0,IF(AND(OR(Search!$N$5="",ISNUMBER(SEARCH(Search!$N$5,J504))),OR(Search!$N$6="",ISNUMBER(SEARCH(Search!$N$6,J504))),OR(Search!$N$7="",ISNUMBER(SEARCH(Search!$N$7,J504))),OR(Search!$N$8="",ISNUMBER(SEARCH(Search!$N$8,J504)))),1,0))</f>
        <v>0</v>
      </c>
      <c r="L504" s="1" t="n">
        <f aca="false">L503+K504</f>
        <v>0</v>
      </c>
    </row>
    <row r="505" customFormat="false" ht="15" hidden="false" customHeight="true" outlineLevel="0" collapsed="false">
      <c r="A505" s="1" t="s">
        <v>273</v>
      </c>
      <c r="B505" s="1" t="s">
        <v>1221</v>
      </c>
      <c r="C505" s="1" t="n">
        <v>49</v>
      </c>
      <c r="E505" s="1" t="s">
        <v>1448</v>
      </c>
      <c r="F505" s="1" t="s">
        <v>1316</v>
      </c>
      <c r="G505" s="1" t="s">
        <v>1317</v>
      </c>
      <c r="J505" s="1" t="s">
        <v>1449</v>
      </c>
      <c r="K505" s="1" t="n">
        <f aca="false">IF(Search!$D$5="",0,IF(AND(OR(Search!$N$5="",ISNUMBER(SEARCH(Search!$N$5,J505))),OR(Search!$N$6="",ISNUMBER(SEARCH(Search!$N$6,J505))),OR(Search!$N$7="",ISNUMBER(SEARCH(Search!$N$7,J505))),OR(Search!$N$8="",ISNUMBER(SEARCH(Search!$N$8,J505)))),1,0))</f>
        <v>0</v>
      </c>
      <c r="L505" s="1" t="n">
        <f aca="false">L504+K505</f>
        <v>0</v>
      </c>
    </row>
    <row r="506" customFormat="false" ht="15" hidden="false" customHeight="true" outlineLevel="0" collapsed="false">
      <c r="A506" s="1" t="s">
        <v>273</v>
      </c>
      <c r="B506" s="1" t="s">
        <v>1221</v>
      </c>
      <c r="C506" s="1" t="n">
        <v>50</v>
      </c>
      <c r="E506" s="1" t="s">
        <v>1450</v>
      </c>
      <c r="F506" s="1" t="s">
        <v>1451</v>
      </c>
      <c r="G506" s="1" t="s">
        <v>1452</v>
      </c>
      <c r="J506" s="1" t="s">
        <v>1453</v>
      </c>
      <c r="K506" s="1" t="n">
        <f aca="false">IF(Search!$D$5="",0,IF(AND(OR(Search!$N$5="",ISNUMBER(SEARCH(Search!$N$5,J506))),OR(Search!$N$6="",ISNUMBER(SEARCH(Search!$N$6,J506))),OR(Search!$N$7="",ISNUMBER(SEARCH(Search!$N$7,J506))),OR(Search!$N$8="",ISNUMBER(SEARCH(Search!$N$8,J506)))),1,0))</f>
        <v>0</v>
      </c>
      <c r="L506" s="1" t="n">
        <f aca="false">L505+K506</f>
        <v>0</v>
      </c>
    </row>
    <row r="507" customFormat="false" ht="15" hidden="false" customHeight="true" outlineLevel="0" collapsed="false">
      <c r="A507" s="1" t="s">
        <v>273</v>
      </c>
      <c r="B507" s="1" t="s">
        <v>1221</v>
      </c>
      <c r="C507" s="1" t="n">
        <v>51</v>
      </c>
      <c r="E507" s="1" t="s">
        <v>1454</v>
      </c>
      <c r="F507" s="1" t="s">
        <v>1320</v>
      </c>
      <c r="G507" s="1" t="s">
        <v>1321</v>
      </c>
      <c r="J507" s="1" t="s">
        <v>1455</v>
      </c>
      <c r="K507" s="1" t="n">
        <f aca="false">IF(Search!$D$5="",0,IF(AND(OR(Search!$N$5="",ISNUMBER(SEARCH(Search!$N$5,J507))),OR(Search!$N$6="",ISNUMBER(SEARCH(Search!$N$6,J507))),OR(Search!$N$7="",ISNUMBER(SEARCH(Search!$N$7,J507))),OR(Search!$N$8="",ISNUMBER(SEARCH(Search!$N$8,J507)))),1,0))</f>
        <v>0</v>
      </c>
      <c r="L507" s="1" t="n">
        <f aca="false">L506+K507</f>
        <v>0</v>
      </c>
    </row>
    <row r="508" customFormat="false" ht="15" hidden="false" customHeight="true" outlineLevel="0" collapsed="false">
      <c r="A508" s="1" t="s">
        <v>273</v>
      </c>
      <c r="B508" s="1" t="s">
        <v>1221</v>
      </c>
      <c r="C508" s="1" t="n">
        <v>52</v>
      </c>
      <c r="E508" s="1" t="s">
        <v>1456</v>
      </c>
      <c r="F508" s="1" t="s">
        <v>1393</v>
      </c>
      <c r="G508" s="1" t="s">
        <v>1394</v>
      </c>
      <c r="J508" s="1" t="s">
        <v>1457</v>
      </c>
      <c r="K508" s="1" t="n">
        <f aca="false">IF(Search!$D$5="",0,IF(AND(OR(Search!$N$5="",ISNUMBER(SEARCH(Search!$N$5,J508))),OR(Search!$N$6="",ISNUMBER(SEARCH(Search!$N$6,J508))),OR(Search!$N$7="",ISNUMBER(SEARCH(Search!$N$7,J508))),OR(Search!$N$8="",ISNUMBER(SEARCH(Search!$N$8,J508)))),1,0))</f>
        <v>0</v>
      </c>
      <c r="L508" s="1" t="n">
        <f aca="false">L507+K508</f>
        <v>0</v>
      </c>
    </row>
    <row r="509" customFormat="false" ht="15" hidden="false" customHeight="true" outlineLevel="0" collapsed="false">
      <c r="A509" s="1" t="s">
        <v>273</v>
      </c>
      <c r="B509" s="1" t="s">
        <v>1221</v>
      </c>
      <c r="C509" s="1" t="n">
        <v>53</v>
      </c>
      <c r="E509" s="1" t="s">
        <v>1458</v>
      </c>
      <c r="F509" s="1" t="s">
        <v>1459</v>
      </c>
      <c r="G509" s="1" t="s">
        <v>1460</v>
      </c>
      <c r="J509" s="1" t="s">
        <v>1461</v>
      </c>
      <c r="K509" s="1" t="n">
        <f aca="false">IF(Search!$D$5="",0,IF(AND(OR(Search!$N$5="",ISNUMBER(SEARCH(Search!$N$5,J509))),OR(Search!$N$6="",ISNUMBER(SEARCH(Search!$N$6,J509))),OR(Search!$N$7="",ISNUMBER(SEARCH(Search!$N$7,J509))),OR(Search!$N$8="",ISNUMBER(SEARCH(Search!$N$8,J509)))),1,0))</f>
        <v>0</v>
      </c>
      <c r="L509" s="1" t="n">
        <f aca="false">L508+K509</f>
        <v>0</v>
      </c>
    </row>
    <row r="510" customFormat="false" ht="15" hidden="false" customHeight="true" outlineLevel="0" collapsed="false">
      <c r="A510" s="1" t="s">
        <v>273</v>
      </c>
      <c r="B510" s="1" t="s">
        <v>1221</v>
      </c>
      <c r="C510" s="1" t="n">
        <v>54</v>
      </c>
      <c r="E510" s="1" t="s">
        <v>1462</v>
      </c>
      <c r="F510" s="1" t="s">
        <v>1463</v>
      </c>
      <c r="G510" s="1" t="s">
        <v>1464</v>
      </c>
      <c r="J510" s="1" t="s">
        <v>1465</v>
      </c>
      <c r="K510" s="1" t="n">
        <f aca="false">IF(Search!$D$5="",0,IF(AND(OR(Search!$N$5="",ISNUMBER(SEARCH(Search!$N$5,J510))),OR(Search!$N$6="",ISNUMBER(SEARCH(Search!$N$6,J510))),OR(Search!$N$7="",ISNUMBER(SEARCH(Search!$N$7,J510))),OR(Search!$N$8="",ISNUMBER(SEARCH(Search!$N$8,J510)))),1,0))</f>
        <v>0</v>
      </c>
      <c r="L510" s="1" t="n">
        <f aca="false">L509+K510</f>
        <v>0</v>
      </c>
    </row>
    <row r="511" customFormat="false" ht="15" hidden="false" customHeight="true" outlineLevel="0" collapsed="false">
      <c r="A511" s="1" t="s">
        <v>273</v>
      </c>
      <c r="B511" s="1" t="s">
        <v>1221</v>
      </c>
      <c r="C511" s="1" t="n">
        <v>55</v>
      </c>
      <c r="E511" s="1" t="s">
        <v>1466</v>
      </c>
      <c r="F511" s="1" t="s">
        <v>1467</v>
      </c>
      <c r="G511" s="1" t="s">
        <v>1468</v>
      </c>
      <c r="J511" s="1" t="s">
        <v>1469</v>
      </c>
      <c r="K511" s="1" t="n">
        <f aca="false">IF(Search!$D$5="",0,IF(AND(OR(Search!$N$5="",ISNUMBER(SEARCH(Search!$N$5,J511))),OR(Search!$N$6="",ISNUMBER(SEARCH(Search!$N$6,J511))),OR(Search!$N$7="",ISNUMBER(SEARCH(Search!$N$7,J511))),OR(Search!$N$8="",ISNUMBER(SEARCH(Search!$N$8,J511)))),1,0))</f>
        <v>0</v>
      </c>
      <c r="L511" s="1" t="n">
        <f aca="false">L510+K511</f>
        <v>0</v>
      </c>
    </row>
    <row r="512" customFormat="false" ht="15" hidden="false" customHeight="true" outlineLevel="0" collapsed="false">
      <c r="A512" s="1" t="s">
        <v>273</v>
      </c>
      <c r="B512" s="1" t="s">
        <v>1221</v>
      </c>
      <c r="C512" s="1" t="n">
        <v>56</v>
      </c>
      <c r="E512" s="1" t="s">
        <v>1470</v>
      </c>
      <c r="F512" s="1" t="s">
        <v>1471</v>
      </c>
      <c r="G512" s="1" t="s">
        <v>1472</v>
      </c>
      <c r="J512" s="1" t="s">
        <v>1473</v>
      </c>
      <c r="K512" s="1" t="n">
        <f aca="false">IF(Search!$D$5="",0,IF(AND(OR(Search!$N$5="",ISNUMBER(SEARCH(Search!$N$5,J512))),OR(Search!$N$6="",ISNUMBER(SEARCH(Search!$N$6,J512))),OR(Search!$N$7="",ISNUMBER(SEARCH(Search!$N$7,J512))),OR(Search!$N$8="",ISNUMBER(SEARCH(Search!$N$8,J512)))),1,0))</f>
        <v>0</v>
      </c>
      <c r="L512" s="1" t="n">
        <f aca="false">L511+K512</f>
        <v>0</v>
      </c>
    </row>
    <row r="513" customFormat="false" ht="15" hidden="false" customHeight="true" outlineLevel="0" collapsed="false">
      <c r="A513" s="1" t="s">
        <v>273</v>
      </c>
      <c r="B513" s="1" t="s">
        <v>1221</v>
      </c>
      <c r="C513" s="1" t="n">
        <v>57</v>
      </c>
      <c r="E513" s="1" t="s">
        <v>1474</v>
      </c>
      <c r="F513" s="1" t="s">
        <v>1475</v>
      </c>
      <c r="G513" s="1" t="s">
        <v>1476</v>
      </c>
      <c r="J513" s="1" t="s">
        <v>1477</v>
      </c>
      <c r="K513" s="1" t="n">
        <f aca="false">IF(Search!$D$5="",0,IF(AND(OR(Search!$N$5="",ISNUMBER(SEARCH(Search!$N$5,J513))),OR(Search!$N$6="",ISNUMBER(SEARCH(Search!$N$6,J513))),OR(Search!$N$7="",ISNUMBER(SEARCH(Search!$N$7,J513))),OR(Search!$N$8="",ISNUMBER(SEARCH(Search!$N$8,J513)))),1,0))</f>
        <v>0</v>
      </c>
      <c r="L513" s="1" t="n">
        <f aca="false">L512+K513</f>
        <v>0</v>
      </c>
    </row>
    <row r="514" customFormat="false" ht="15" hidden="false" customHeight="true" outlineLevel="0" collapsed="false">
      <c r="A514" s="1" t="s">
        <v>273</v>
      </c>
      <c r="B514" s="1" t="s">
        <v>1221</v>
      </c>
      <c r="C514" s="1" t="n">
        <v>58</v>
      </c>
      <c r="E514" s="1" t="s">
        <v>1478</v>
      </c>
      <c r="F514" s="1" t="s">
        <v>1479</v>
      </c>
      <c r="G514" s="1" t="s">
        <v>1480</v>
      </c>
      <c r="J514" s="1" t="s">
        <v>1481</v>
      </c>
      <c r="K514" s="1" t="n">
        <f aca="false">IF(Search!$D$5="",0,IF(AND(OR(Search!$N$5="",ISNUMBER(SEARCH(Search!$N$5,J514))),OR(Search!$N$6="",ISNUMBER(SEARCH(Search!$N$6,J514))),OR(Search!$N$7="",ISNUMBER(SEARCH(Search!$N$7,J514))),OR(Search!$N$8="",ISNUMBER(SEARCH(Search!$N$8,J514)))),1,0))</f>
        <v>0</v>
      </c>
      <c r="L514" s="1" t="n">
        <f aca="false">L513+K514</f>
        <v>0</v>
      </c>
    </row>
    <row r="515" customFormat="false" ht="15" hidden="false" customHeight="true" outlineLevel="0" collapsed="false">
      <c r="A515" s="1" t="s">
        <v>273</v>
      </c>
      <c r="B515" s="1" t="s">
        <v>1221</v>
      </c>
      <c r="C515" s="1" t="n">
        <v>59</v>
      </c>
      <c r="E515" s="1" t="s">
        <v>1482</v>
      </c>
      <c r="F515" s="1" t="s">
        <v>1483</v>
      </c>
      <c r="G515" s="1" t="s">
        <v>1484</v>
      </c>
      <c r="J515" s="1" t="s">
        <v>1485</v>
      </c>
      <c r="K515" s="1" t="n">
        <f aca="false">IF(Search!$D$5="",0,IF(AND(OR(Search!$N$5="",ISNUMBER(SEARCH(Search!$N$5,J515))),OR(Search!$N$6="",ISNUMBER(SEARCH(Search!$N$6,J515))),OR(Search!$N$7="",ISNUMBER(SEARCH(Search!$N$7,J515))),OR(Search!$N$8="",ISNUMBER(SEARCH(Search!$N$8,J515)))),1,0))</f>
        <v>0</v>
      </c>
      <c r="L515" s="1" t="n">
        <f aca="false">L514+K515</f>
        <v>0</v>
      </c>
    </row>
    <row r="516" customFormat="false" ht="15" hidden="false" customHeight="true" outlineLevel="0" collapsed="false">
      <c r="A516" s="1" t="s">
        <v>273</v>
      </c>
      <c r="B516" s="1" t="s">
        <v>1221</v>
      </c>
      <c r="C516" s="1" t="n">
        <v>60</v>
      </c>
      <c r="E516" s="1" t="s">
        <v>1486</v>
      </c>
      <c r="F516" s="1" t="s">
        <v>1487</v>
      </c>
      <c r="G516" s="1" t="s">
        <v>1488</v>
      </c>
      <c r="J516" s="1" t="s">
        <v>1489</v>
      </c>
      <c r="K516" s="1" t="n">
        <f aca="false">IF(Search!$D$5="",0,IF(AND(OR(Search!$N$5="",ISNUMBER(SEARCH(Search!$N$5,J516))),OR(Search!$N$6="",ISNUMBER(SEARCH(Search!$N$6,J516))),OR(Search!$N$7="",ISNUMBER(SEARCH(Search!$N$7,J516))),OR(Search!$N$8="",ISNUMBER(SEARCH(Search!$N$8,J516)))),1,0))</f>
        <v>0</v>
      </c>
      <c r="L516" s="1" t="n">
        <f aca="false">L515+K516</f>
        <v>0</v>
      </c>
    </row>
    <row r="517" customFormat="false" ht="15" hidden="false" customHeight="true" outlineLevel="0" collapsed="false">
      <c r="A517" s="1" t="s">
        <v>273</v>
      </c>
      <c r="B517" s="1" t="s">
        <v>1221</v>
      </c>
      <c r="C517" s="1" t="n">
        <v>61</v>
      </c>
      <c r="E517" s="1" t="s">
        <v>1490</v>
      </c>
      <c r="F517" s="1" t="s">
        <v>1359</v>
      </c>
      <c r="G517" s="1" t="s">
        <v>1491</v>
      </c>
      <c r="J517" s="1" t="s">
        <v>1492</v>
      </c>
      <c r="K517" s="1" t="n">
        <f aca="false">IF(Search!$D$5="",0,IF(AND(OR(Search!$N$5="",ISNUMBER(SEARCH(Search!$N$5,J517))),OR(Search!$N$6="",ISNUMBER(SEARCH(Search!$N$6,J517))),OR(Search!$N$7="",ISNUMBER(SEARCH(Search!$N$7,J517))),OR(Search!$N$8="",ISNUMBER(SEARCH(Search!$N$8,J517)))),1,0))</f>
        <v>0</v>
      </c>
      <c r="L517" s="1" t="n">
        <f aca="false">L516+K517</f>
        <v>0</v>
      </c>
    </row>
    <row r="518" customFormat="false" ht="15" hidden="false" customHeight="true" outlineLevel="0" collapsed="false">
      <c r="A518" s="1" t="s">
        <v>273</v>
      </c>
      <c r="B518" s="1" t="s">
        <v>1221</v>
      </c>
      <c r="C518" s="1" t="n">
        <v>62</v>
      </c>
      <c r="E518" s="1" t="s">
        <v>1493</v>
      </c>
      <c r="F518" s="1" t="s">
        <v>1494</v>
      </c>
      <c r="G518" s="1" t="s">
        <v>1495</v>
      </c>
      <c r="J518" s="1" t="s">
        <v>1496</v>
      </c>
      <c r="K518" s="1" t="n">
        <f aca="false">IF(Search!$D$5="",0,IF(AND(OR(Search!$N$5="",ISNUMBER(SEARCH(Search!$N$5,J518))),OR(Search!$N$6="",ISNUMBER(SEARCH(Search!$N$6,J518))),OR(Search!$N$7="",ISNUMBER(SEARCH(Search!$N$7,J518))),OR(Search!$N$8="",ISNUMBER(SEARCH(Search!$N$8,J518)))),1,0))</f>
        <v>0</v>
      </c>
      <c r="L518" s="1" t="n">
        <f aca="false">L517+K518</f>
        <v>0</v>
      </c>
    </row>
    <row r="519" customFormat="false" ht="15" hidden="false" customHeight="true" outlineLevel="0" collapsed="false">
      <c r="A519" s="1" t="s">
        <v>273</v>
      </c>
      <c r="B519" s="1" t="s">
        <v>1221</v>
      </c>
      <c r="C519" s="1" t="n">
        <v>63</v>
      </c>
      <c r="E519" s="1" t="s">
        <v>1497</v>
      </c>
      <c r="F519" s="1" t="s">
        <v>1498</v>
      </c>
      <c r="G519" s="1" t="s">
        <v>1499</v>
      </c>
      <c r="J519" s="1" t="s">
        <v>1500</v>
      </c>
      <c r="K519" s="1" t="n">
        <f aca="false">IF(Search!$D$5="",0,IF(AND(OR(Search!$N$5="",ISNUMBER(SEARCH(Search!$N$5,J519))),OR(Search!$N$6="",ISNUMBER(SEARCH(Search!$N$6,J519))),OR(Search!$N$7="",ISNUMBER(SEARCH(Search!$N$7,J519))),OR(Search!$N$8="",ISNUMBER(SEARCH(Search!$N$8,J519)))),1,0))</f>
        <v>0</v>
      </c>
      <c r="L519" s="1" t="n">
        <f aca="false">L518+K519</f>
        <v>0</v>
      </c>
    </row>
    <row r="520" customFormat="false" ht="15" hidden="false" customHeight="true" outlineLevel="0" collapsed="false">
      <c r="A520" s="1" t="s">
        <v>273</v>
      </c>
      <c r="B520" s="1" t="s">
        <v>1221</v>
      </c>
      <c r="C520" s="1" t="n">
        <v>64</v>
      </c>
      <c r="E520" s="1" t="s">
        <v>1501</v>
      </c>
      <c r="F520" s="1" t="s">
        <v>1502</v>
      </c>
      <c r="G520" s="1" t="s">
        <v>1503</v>
      </c>
      <c r="J520" s="1" t="s">
        <v>1504</v>
      </c>
      <c r="K520" s="1" t="n">
        <f aca="false">IF(Search!$D$5="",0,IF(AND(OR(Search!$N$5="",ISNUMBER(SEARCH(Search!$N$5,J520))),OR(Search!$N$6="",ISNUMBER(SEARCH(Search!$N$6,J520))),OR(Search!$N$7="",ISNUMBER(SEARCH(Search!$N$7,J520))),OR(Search!$N$8="",ISNUMBER(SEARCH(Search!$N$8,J520)))),1,0))</f>
        <v>0</v>
      </c>
      <c r="L520" s="1" t="n">
        <f aca="false">L519+K520</f>
        <v>0</v>
      </c>
    </row>
    <row r="521" customFormat="false" ht="15" hidden="false" customHeight="true" outlineLevel="0" collapsed="false">
      <c r="A521" s="1" t="s">
        <v>273</v>
      </c>
      <c r="B521" s="1" t="s">
        <v>1221</v>
      </c>
      <c r="C521" s="1" t="n">
        <v>65</v>
      </c>
      <c r="E521" s="1" t="s">
        <v>1505</v>
      </c>
      <c r="F521" s="1" t="s">
        <v>1506</v>
      </c>
      <c r="G521" s="1" t="s">
        <v>1507</v>
      </c>
      <c r="J521" s="1" t="s">
        <v>1508</v>
      </c>
      <c r="K521" s="1" t="n">
        <f aca="false">IF(Search!$D$5="",0,IF(AND(OR(Search!$N$5="",ISNUMBER(SEARCH(Search!$N$5,J521))),OR(Search!$N$6="",ISNUMBER(SEARCH(Search!$N$6,J521))),OR(Search!$N$7="",ISNUMBER(SEARCH(Search!$N$7,J521))),OR(Search!$N$8="",ISNUMBER(SEARCH(Search!$N$8,J521)))),1,0))</f>
        <v>0</v>
      </c>
      <c r="L521" s="1" t="n">
        <f aca="false">L520+K521</f>
        <v>0</v>
      </c>
    </row>
    <row r="522" customFormat="false" ht="15" hidden="false" customHeight="true" outlineLevel="0" collapsed="false">
      <c r="A522" s="1" t="s">
        <v>273</v>
      </c>
      <c r="B522" s="1" t="s">
        <v>1221</v>
      </c>
      <c r="C522" s="1" t="n">
        <v>66</v>
      </c>
      <c r="E522" s="1" t="s">
        <v>1509</v>
      </c>
      <c r="F522" s="1" t="s">
        <v>1341</v>
      </c>
      <c r="G522" s="1" t="s">
        <v>1510</v>
      </c>
      <c r="J522" s="1" t="s">
        <v>1511</v>
      </c>
      <c r="K522" s="1" t="n">
        <f aca="false">IF(Search!$D$5="",0,IF(AND(OR(Search!$N$5="",ISNUMBER(SEARCH(Search!$N$5,J522))),OR(Search!$N$6="",ISNUMBER(SEARCH(Search!$N$6,J522))),OR(Search!$N$7="",ISNUMBER(SEARCH(Search!$N$7,J522))),OR(Search!$N$8="",ISNUMBER(SEARCH(Search!$N$8,J522)))),1,0))</f>
        <v>0</v>
      </c>
      <c r="L522" s="1" t="n">
        <f aca="false">L521+K522</f>
        <v>0</v>
      </c>
    </row>
    <row r="523" customFormat="false" ht="15" hidden="false" customHeight="true" outlineLevel="0" collapsed="false">
      <c r="A523" s="1" t="s">
        <v>273</v>
      </c>
      <c r="B523" s="1" t="s">
        <v>1221</v>
      </c>
      <c r="C523" s="1" t="n">
        <v>67</v>
      </c>
      <c r="E523" s="1" t="s">
        <v>1512</v>
      </c>
      <c r="F523" s="1" t="s">
        <v>1513</v>
      </c>
      <c r="G523" s="1" t="s">
        <v>1502</v>
      </c>
      <c r="J523" s="1" t="s">
        <v>1514</v>
      </c>
      <c r="K523" s="1" t="n">
        <f aca="false">IF(Search!$D$5="",0,IF(AND(OR(Search!$N$5="",ISNUMBER(SEARCH(Search!$N$5,J523))),OR(Search!$N$6="",ISNUMBER(SEARCH(Search!$N$6,J523))),OR(Search!$N$7="",ISNUMBER(SEARCH(Search!$N$7,J523))),OR(Search!$N$8="",ISNUMBER(SEARCH(Search!$N$8,J523)))),1,0))</f>
        <v>0</v>
      </c>
      <c r="L523" s="1" t="n">
        <f aca="false">L522+K523</f>
        <v>0</v>
      </c>
    </row>
    <row r="524" customFormat="false" ht="15" hidden="false" customHeight="true" outlineLevel="0" collapsed="false">
      <c r="A524" s="1" t="s">
        <v>273</v>
      </c>
      <c r="B524" s="1" t="s">
        <v>1221</v>
      </c>
      <c r="C524" s="1" t="n">
        <v>68</v>
      </c>
      <c r="E524" s="1" t="s">
        <v>1515</v>
      </c>
      <c r="F524" s="1" t="s">
        <v>1516</v>
      </c>
      <c r="G524" s="1" t="s">
        <v>1517</v>
      </c>
      <c r="J524" s="1" t="s">
        <v>1518</v>
      </c>
      <c r="K524" s="1" t="n">
        <f aca="false">IF(Search!$D$5="",0,IF(AND(OR(Search!$N$5="",ISNUMBER(SEARCH(Search!$N$5,J524))),OR(Search!$N$6="",ISNUMBER(SEARCH(Search!$N$6,J524))),OR(Search!$N$7="",ISNUMBER(SEARCH(Search!$N$7,J524))),OR(Search!$N$8="",ISNUMBER(SEARCH(Search!$N$8,J524)))),1,0))</f>
        <v>0</v>
      </c>
      <c r="L524" s="1" t="n">
        <f aca="false">L523+K524</f>
        <v>0</v>
      </c>
    </row>
    <row r="525" customFormat="false" ht="15" hidden="false" customHeight="true" outlineLevel="0" collapsed="false">
      <c r="A525" s="1" t="s">
        <v>273</v>
      </c>
      <c r="B525" s="1" t="s">
        <v>1221</v>
      </c>
      <c r="C525" s="1" t="n">
        <v>69</v>
      </c>
      <c r="E525" s="1" t="s">
        <v>1519</v>
      </c>
      <c r="F525" s="1" t="s">
        <v>1520</v>
      </c>
      <c r="G525" s="1" t="s">
        <v>1521</v>
      </c>
      <c r="J525" s="1" t="s">
        <v>1522</v>
      </c>
      <c r="K525" s="1" t="n">
        <f aca="false">IF(Search!$D$5="",0,IF(AND(OR(Search!$N$5="",ISNUMBER(SEARCH(Search!$N$5,J525))),OR(Search!$N$6="",ISNUMBER(SEARCH(Search!$N$6,J525))),OR(Search!$N$7="",ISNUMBER(SEARCH(Search!$N$7,J525))),OR(Search!$N$8="",ISNUMBER(SEARCH(Search!$N$8,J525)))),1,0))</f>
        <v>0</v>
      </c>
      <c r="L525" s="1" t="n">
        <f aca="false">L524+K525</f>
        <v>0</v>
      </c>
    </row>
    <row r="526" customFormat="false" ht="15" hidden="false" customHeight="true" outlineLevel="0" collapsed="false">
      <c r="A526" s="1" t="s">
        <v>273</v>
      </c>
      <c r="B526" s="1" t="s">
        <v>1221</v>
      </c>
      <c r="C526" s="1" t="n">
        <v>70</v>
      </c>
      <c r="E526" s="1" t="s">
        <v>1523</v>
      </c>
      <c r="F526" s="1" t="s">
        <v>1524</v>
      </c>
      <c r="G526" s="1" t="s">
        <v>1525</v>
      </c>
      <c r="J526" s="1" t="s">
        <v>1526</v>
      </c>
      <c r="K526" s="1" t="n">
        <f aca="false">IF(Search!$D$5="",0,IF(AND(OR(Search!$N$5="",ISNUMBER(SEARCH(Search!$N$5,J526))),OR(Search!$N$6="",ISNUMBER(SEARCH(Search!$N$6,J526))),OR(Search!$N$7="",ISNUMBER(SEARCH(Search!$N$7,J526))),OR(Search!$N$8="",ISNUMBER(SEARCH(Search!$N$8,J526)))),1,0))</f>
        <v>0</v>
      </c>
      <c r="L526" s="1" t="n">
        <f aca="false">L525+K526</f>
        <v>0</v>
      </c>
    </row>
    <row r="527" customFormat="false" ht="15" hidden="false" customHeight="true" outlineLevel="0" collapsed="false">
      <c r="A527" s="1" t="s">
        <v>273</v>
      </c>
      <c r="B527" s="1" t="s">
        <v>1221</v>
      </c>
      <c r="C527" s="1" t="n">
        <v>71</v>
      </c>
      <c r="E527" s="1" t="s">
        <v>1527</v>
      </c>
      <c r="F527" s="1" t="s">
        <v>1528</v>
      </c>
      <c r="G527" s="1" t="s">
        <v>1529</v>
      </c>
      <c r="J527" s="1" t="s">
        <v>1530</v>
      </c>
      <c r="K527" s="1" t="n">
        <f aca="false">IF(Search!$D$5="",0,IF(AND(OR(Search!$N$5="",ISNUMBER(SEARCH(Search!$N$5,J527))),OR(Search!$N$6="",ISNUMBER(SEARCH(Search!$N$6,J527))),OR(Search!$N$7="",ISNUMBER(SEARCH(Search!$N$7,J527))),OR(Search!$N$8="",ISNUMBER(SEARCH(Search!$N$8,J527)))),1,0))</f>
        <v>0</v>
      </c>
      <c r="L527" s="1" t="n">
        <f aca="false">L526+K527</f>
        <v>0</v>
      </c>
    </row>
    <row r="528" customFormat="false" ht="15" hidden="false" customHeight="true" outlineLevel="0" collapsed="false">
      <c r="A528" s="1" t="s">
        <v>273</v>
      </c>
      <c r="B528" s="1" t="s">
        <v>1221</v>
      </c>
      <c r="C528" s="1" t="n">
        <v>72</v>
      </c>
      <c r="E528" s="1" t="s">
        <v>1531</v>
      </c>
      <c r="F528" s="1" t="s">
        <v>1532</v>
      </c>
      <c r="G528" s="1" t="s">
        <v>1533</v>
      </c>
      <c r="J528" s="1" t="s">
        <v>1534</v>
      </c>
      <c r="K528" s="1" t="n">
        <f aca="false">IF(Search!$D$5="",0,IF(AND(OR(Search!$N$5="",ISNUMBER(SEARCH(Search!$N$5,J528))),OR(Search!$N$6="",ISNUMBER(SEARCH(Search!$N$6,J528))),OR(Search!$N$7="",ISNUMBER(SEARCH(Search!$N$7,J528))),OR(Search!$N$8="",ISNUMBER(SEARCH(Search!$N$8,J528)))),1,0))</f>
        <v>0</v>
      </c>
      <c r="L528" s="1" t="n">
        <f aca="false">L527+K528</f>
        <v>0</v>
      </c>
    </row>
    <row r="529" customFormat="false" ht="15" hidden="false" customHeight="true" outlineLevel="0" collapsed="false">
      <c r="A529" s="1" t="s">
        <v>273</v>
      </c>
      <c r="B529" s="1" t="s">
        <v>1221</v>
      </c>
      <c r="C529" s="1" t="n">
        <v>73</v>
      </c>
      <c r="E529" s="1" t="s">
        <v>1535</v>
      </c>
      <c r="F529" s="1" t="s">
        <v>1536</v>
      </c>
      <c r="G529" s="1" t="s">
        <v>1537</v>
      </c>
      <c r="J529" s="1" t="s">
        <v>1538</v>
      </c>
      <c r="K529" s="1" t="n">
        <f aca="false">IF(Search!$D$5="",0,IF(AND(OR(Search!$N$5="",ISNUMBER(SEARCH(Search!$N$5,J529))),OR(Search!$N$6="",ISNUMBER(SEARCH(Search!$N$6,J529))),OR(Search!$N$7="",ISNUMBER(SEARCH(Search!$N$7,J529))),OR(Search!$N$8="",ISNUMBER(SEARCH(Search!$N$8,J529)))),1,0))</f>
        <v>0</v>
      </c>
      <c r="L529" s="1" t="n">
        <f aca="false">L528+K529</f>
        <v>0</v>
      </c>
    </row>
    <row r="530" customFormat="false" ht="15" hidden="false" customHeight="true" outlineLevel="0" collapsed="false">
      <c r="A530" s="1" t="s">
        <v>273</v>
      </c>
      <c r="B530" s="1" t="s">
        <v>1221</v>
      </c>
      <c r="C530" s="1" t="n">
        <v>74</v>
      </c>
      <c r="E530" s="1" t="s">
        <v>1539</v>
      </c>
      <c r="F530" s="1" t="s">
        <v>1359</v>
      </c>
      <c r="G530" s="1" t="s">
        <v>1491</v>
      </c>
      <c r="J530" s="1" t="s">
        <v>1540</v>
      </c>
      <c r="K530" s="1" t="n">
        <f aca="false">IF(Search!$D$5="",0,IF(AND(OR(Search!$N$5="",ISNUMBER(SEARCH(Search!$N$5,J530))),OR(Search!$N$6="",ISNUMBER(SEARCH(Search!$N$6,J530))),OR(Search!$N$7="",ISNUMBER(SEARCH(Search!$N$7,J530))),OR(Search!$N$8="",ISNUMBER(SEARCH(Search!$N$8,J530)))),1,0))</f>
        <v>0</v>
      </c>
      <c r="L530" s="1" t="n">
        <f aca="false">L529+K530</f>
        <v>0</v>
      </c>
    </row>
    <row r="531" customFormat="false" ht="15" hidden="false" customHeight="true" outlineLevel="0" collapsed="false">
      <c r="A531" s="1" t="s">
        <v>273</v>
      </c>
      <c r="B531" s="1" t="s">
        <v>1221</v>
      </c>
      <c r="C531" s="1" t="n">
        <v>75</v>
      </c>
      <c r="E531" s="1" t="s">
        <v>1541</v>
      </c>
      <c r="F531" s="1" t="s">
        <v>1536</v>
      </c>
      <c r="G531" s="1" t="s">
        <v>1537</v>
      </c>
      <c r="J531" s="1" t="s">
        <v>1542</v>
      </c>
      <c r="K531" s="1" t="n">
        <f aca="false">IF(Search!$D$5="",0,IF(AND(OR(Search!$N$5="",ISNUMBER(SEARCH(Search!$N$5,J531))),OR(Search!$N$6="",ISNUMBER(SEARCH(Search!$N$6,J531))),OR(Search!$N$7="",ISNUMBER(SEARCH(Search!$N$7,J531))),OR(Search!$N$8="",ISNUMBER(SEARCH(Search!$N$8,J531)))),1,0))</f>
        <v>0</v>
      </c>
      <c r="L531" s="1" t="n">
        <f aca="false">L530+K531</f>
        <v>0</v>
      </c>
    </row>
    <row r="532" customFormat="false" ht="15" hidden="false" customHeight="true" outlineLevel="0" collapsed="false">
      <c r="A532" s="1" t="s">
        <v>273</v>
      </c>
      <c r="B532" s="1" t="s">
        <v>1221</v>
      </c>
      <c r="C532" s="1" t="n">
        <v>76</v>
      </c>
      <c r="E532" s="1" t="s">
        <v>1543</v>
      </c>
      <c r="F532" s="1" t="s">
        <v>1544</v>
      </c>
      <c r="G532" s="1" t="s">
        <v>1545</v>
      </c>
      <c r="J532" s="1" t="s">
        <v>1546</v>
      </c>
      <c r="K532" s="1" t="n">
        <f aca="false">IF(Search!$D$5="",0,IF(AND(OR(Search!$N$5="",ISNUMBER(SEARCH(Search!$N$5,J532))),OR(Search!$N$6="",ISNUMBER(SEARCH(Search!$N$6,J532))),OR(Search!$N$7="",ISNUMBER(SEARCH(Search!$N$7,J532))),OR(Search!$N$8="",ISNUMBER(SEARCH(Search!$N$8,J532)))),1,0))</f>
        <v>0</v>
      </c>
      <c r="L532" s="1" t="n">
        <f aca="false">L531+K532</f>
        <v>0</v>
      </c>
    </row>
    <row r="533" customFormat="false" ht="15" hidden="false" customHeight="true" outlineLevel="0" collapsed="false">
      <c r="A533" s="1" t="s">
        <v>273</v>
      </c>
      <c r="B533" s="1" t="s">
        <v>1221</v>
      </c>
      <c r="C533" s="1" t="n">
        <v>77</v>
      </c>
      <c r="E533" s="1" t="s">
        <v>1547</v>
      </c>
      <c r="F533" s="1" t="s">
        <v>1548</v>
      </c>
      <c r="G533" s="1" t="s">
        <v>1549</v>
      </c>
      <c r="J533" s="1" t="s">
        <v>1550</v>
      </c>
      <c r="K533" s="1" t="n">
        <f aca="false">IF(Search!$D$5="",0,IF(AND(OR(Search!$N$5="",ISNUMBER(SEARCH(Search!$N$5,J533))),OR(Search!$N$6="",ISNUMBER(SEARCH(Search!$N$6,J533))),OR(Search!$N$7="",ISNUMBER(SEARCH(Search!$N$7,J533))),OR(Search!$N$8="",ISNUMBER(SEARCH(Search!$N$8,J533)))),1,0))</f>
        <v>0</v>
      </c>
      <c r="L533" s="1" t="n">
        <f aca="false">L532+K533</f>
        <v>0</v>
      </c>
    </row>
    <row r="534" customFormat="false" ht="15" hidden="false" customHeight="true" outlineLevel="0" collapsed="false">
      <c r="A534" s="1" t="s">
        <v>273</v>
      </c>
      <c r="B534" s="1" t="s">
        <v>1221</v>
      </c>
      <c r="C534" s="1" t="n">
        <v>78</v>
      </c>
      <c r="E534" s="1" t="s">
        <v>1551</v>
      </c>
      <c r="F534" s="1" t="s">
        <v>1502</v>
      </c>
      <c r="G534" s="1" t="s">
        <v>1503</v>
      </c>
      <c r="J534" s="1" t="s">
        <v>1552</v>
      </c>
      <c r="K534" s="1" t="n">
        <f aca="false">IF(Search!$D$5="",0,IF(AND(OR(Search!$N$5="",ISNUMBER(SEARCH(Search!$N$5,J534))),OR(Search!$N$6="",ISNUMBER(SEARCH(Search!$N$6,J534))),OR(Search!$N$7="",ISNUMBER(SEARCH(Search!$N$7,J534))),OR(Search!$N$8="",ISNUMBER(SEARCH(Search!$N$8,J534)))),1,0))</f>
        <v>0</v>
      </c>
      <c r="L534" s="1" t="n">
        <f aca="false">L533+K534</f>
        <v>0</v>
      </c>
    </row>
    <row r="535" customFormat="false" ht="15" hidden="false" customHeight="true" outlineLevel="0" collapsed="false">
      <c r="A535" s="1" t="s">
        <v>273</v>
      </c>
      <c r="B535" s="1" t="s">
        <v>1221</v>
      </c>
      <c r="C535" s="1" t="n">
        <v>79</v>
      </c>
      <c r="E535" s="1" t="s">
        <v>1553</v>
      </c>
      <c r="F535" s="1" t="s">
        <v>1554</v>
      </c>
      <c r="G535" s="1" t="s">
        <v>1555</v>
      </c>
      <c r="J535" s="1" t="s">
        <v>1556</v>
      </c>
      <c r="K535" s="1" t="n">
        <f aca="false">IF(Search!$D$5="",0,IF(AND(OR(Search!$N$5="",ISNUMBER(SEARCH(Search!$N$5,J535))),OR(Search!$N$6="",ISNUMBER(SEARCH(Search!$N$6,J535))),OR(Search!$N$7="",ISNUMBER(SEARCH(Search!$N$7,J535))),OR(Search!$N$8="",ISNUMBER(SEARCH(Search!$N$8,J535)))),1,0))</f>
        <v>0</v>
      </c>
      <c r="L535" s="1" t="n">
        <f aca="false">L534+K535</f>
        <v>0</v>
      </c>
    </row>
    <row r="536" customFormat="false" ht="15" hidden="false" customHeight="true" outlineLevel="0" collapsed="false">
      <c r="A536" s="1" t="s">
        <v>273</v>
      </c>
      <c r="B536" s="1" t="s">
        <v>1221</v>
      </c>
      <c r="C536" s="1" t="n">
        <v>80</v>
      </c>
      <c r="E536" s="1" t="s">
        <v>1557</v>
      </c>
      <c r="F536" s="1" t="s">
        <v>1397</v>
      </c>
      <c r="G536" s="1" t="s">
        <v>1398</v>
      </c>
      <c r="J536" s="1" t="s">
        <v>1558</v>
      </c>
      <c r="K536" s="1" t="n">
        <f aca="false">IF(Search!$D$5="",0,IF(AND(OR(Search!$N$5="",ISNUMBER(SEARCH(Search!$N$5,J536))),OR(Search!$N$6="",ISNUMBER(SEARCH(Search!$N$6,J536))),OR(Search!$N$7="",ISNUMBER(SEARCH(Search!$N$7,J536))),OR(Search!$N$8="",ISNUMBER(SEARCH(Search!$N$8,J536)))),1,0))</f>
        <v>0</v>
      </c>
      <c r="L536" s="1" t="n">
        <f aca="false">L535+K536</f>
        <v>0</v>
      </c>
    </row>
    <row r="537" customFormat="false" ht="15" hidden="false" customHeight="true" outlineLevel="0" collapsed="false">
      <c r="A537" s="1" t="s">
        <v>273</v>
      </c>
      <c r="B537" s="1" t="s">
        <v>1221</v>
      </c>
      <c r="C537" s="1" t="n">
        <v>81</v>
      </c>
      <c r="E537" s="1" t="s">
        <v>1559</v>
      </c>
      <c r="F537" s="1" t="s">
        <v>1405</v>
      </c>
      <c r="G537" s="1" t="s">
        <v>1406</v>
      </c>
      <c r="J537" s="1" t="s">
        <v>1560</v>
      </c>
      <c r="K537" s="1" t="n">
        <f aca="false">IF(Search!$D$5="",0,IF(AND(OR(Search!$N$5="",ISNUMBER(SEARCH(Search!$N$5,J537))),OR(Search!$N$6="",ISNUMBER(SEARCH(Search!$N$6,J537))),OR(Search!$N$7="",ISNUMBER(SEARCH(Search!$N$7,J537))),OR(Search!$N$8="",ISNUMBER(SEARCH(Search!$N$8,J537)))),1,0))</f>
        <v>0</v>
      </c>
      <c r="L537" s="1" t="n">
        <f aca="false">L536+K537</f>
        <v>0</v>
      </c>
    </row>
    <row r="538" customFormat="false" ht="15" hidden="false" customHeight="true" outlineLevel="0" collapsed="false">
      <c r="A538" s="1" t="s">
        <v>273</v>
      </c>
      <c r="B538" s="1" t="s">
        <v>1221</v>
      </c>
      <c r="C538" s="1" t="n">
        <v>82</v>
      </c>
      <c r="E538" s="1" t="s">
        <v>1561</v>
      </c>
      <c r="F538" s="1" t="s">
        <v>1562</v>
      </c>
      <c r="G538" s="1" t="s">
        <v>1563</v>
      </c>
      <c r="J538" s="1" t="s">
        <v>1564</v>
      </c>
      <c r="K538" s="1" t="n">
        <f aca="false">IF(Search!$D$5="",0,IF(AND(OR(Search!$N$5="",ISNUMBER(SEARCH(Search!$N$5,J538))),OR(Search!$N$6="",ISNUMBER(SEARCH(Search!$N$6,J538))),OR(Search!$N$7="",ISNUMBER(SEARCH(Search!$N$7,J538))),OR(Search!$N$8="",ISNUMBER(SEARCH(Search!$N$8,J538)))),1,0))</f>
        <v>0</v>
      </c>
      <c r="L538" s="1" t="n">
        <f aca="false">L537+K538</f>
        <v>0</v>
      </c>
    </row>
    <row r="539" customFormat="false" ht="15" hidden="false" customHeight="true" outlineLevel="0" collapsed="false">
      <c r="A539" s="1" t="s">
        <v>273</v>
      </c>
      <c r="B539" s="1" t="s">
        <v>1221</v>
      </c>
      <c r="C539" s="1" t="n">
        <v>83</v>
      </c>
      <c r="E539" s="1" t="s">
        <v>1565</v>
      </c>
      <c r="F539" s="1" t="s">
        <v>1566</v>
      </c>
      <c r="G539" s="1" t="s">
        <v>1567</v>
      </c>
      <c r="J539" s="1" t="s">
        <v>1568</v>
      </c>
      <c r="K539" s="1" t="n">
        <f aca="false">IF(Search!$D$5="",0,IF(AND(OR(Search!$N$5="",ISNUMBER(SEARCH(Search!$N$5,J539))),OR(Search!$N$6="",ISNUMBER(SEARCH(Search!$N$6,J539))),OR(Search!$N$7="",ISNUMBER(SEARCH(Search!$N$7,J539))),OR(Search!$N$8="",ISNUMBER(SEARCH(Search!$N$8,J539)))),1,0))</f>
        <v>0</v>
      </c>
      <c r="L539" s="1" t="n">
        <f aca="false">L538+K539</f>
        <v>0</v>
      </c>
    </row>
    <row r="540" customFormat="false" ht="15" hidden="false" customHeight="true" outlineLevel="0" collapsed="false">
      <c r="A540" s="1" t="s">
        <v>273</v>
      </c>
      <c r="B540" s="1" t="s">
        <v>1221</v>
      </c>
      <c r="C540" s="1" t="n">
        <v>84</v>
      </c>
      <c r="E540" s="1" t="s">
        <v>1569</v>
      </c>
      <c r="F540" s="1" t="s">
        <v>1570</v>
      </c>
      <c r="G540" s="1" t="s">
        <v>1571</v>
      </c>
      <c r="J540" s="1" t="s">
        <v>1572</v>
      </c>
      <c r="K540" s="1" t="n">
        <f aca="false">IF(Search!$D$5="",0,IF(AND(OR(Search!$N$5="",ISNUMBER(SEARCH(Search!$N$5,J540))),OR(Search!$N$6="",ISNUMBER(SEARCH(Search!$N$6,J540))),OR(Search!$N$7="",ISNUMBER(SEARCH(Search!$N$7,J540))),OR(Search!$N$8="",ISNUMBER(SEARCH(Search!$N$8,J540)))),1,0))</f>
        <v>0</v>
      </c>
      <c r="L540" s="1" t="n">
        <f aca="false">L539+K540</f>
        <v>0</v>
      </c>
    </row>
    <row r="541" customFormat="false" ht="15" hidden="false" customHeight="true" outlineLevel="0" collapsed="false">
      <c r="A541" s="1" t="s">
        <v>273</v>
      </c>
      <c r="B541" s="1" t="s">
        <v>1221</v>
      </c>
      <c r="C541" s="1" t="n">
        <v>85</v>
      </c>
      <c r="E541" s="1" t="s">
        <v>1573</v>
      </c>
      <c r="F541" s="1" t="s">
        <v>1574</v>
      </c>
      <c r="G541" s="1" t="s">
        <v>1575</v>
      </c>
      <c r="J541" s="1" t="s">
        <v>1576</v>
      </c>
      <c r="K541" s="1" t="n">
        <f aca="false">IF(Search!$D$5="",0,IF(AND(OR(Search!$N$5="",ISNUMBER(SEARCH(Search!$N$5,J541))),OR(Search!$N$6="",ISNUMBER(SEARCH(Search!$N$6,J541))),OR(Search!$N$7="",ISNUMBER(SEARCH(Search!$N$7,J541))),OR(Search!$N$8="",ISNUMBER(SEARCH(Search!$N$8,J541)))),1,0))</f>
        <v>0</v>
      </c>
      <c r="L541" s="1" t="n">
        <f aca="false">L540+K541</f>
        <v>0</v>
      </c>
    </row>
    <row r="542" customFormat="false" ht="15" hidden="false" customHeight="true" outlineLevel="0" collapsed="false">
      <c r="A542" s="1" t="s">
        <v>273</v>
      </c>
      <c r="B542" s="1" t="s">
        <v>1221</v>
      </c>
      <c r="C542" s="1" t="n">
        <v>86</v>
      </c>
      <c r="E542" s="1" t="s">
        <v>1577</v>
      </c>
      <c r="F542" s="1" t="s">
        <v>1578</v>
      </c>
      <c r="G542" s="1" t="s">
        <v>1579</v>
      </c>
      <c r="J542" s="1" t="s">
        <v>1580</v>
      </c>
      <c r="K542" s="1" t="n">
        <f aca="false">IF(Search!$D$5="",0,IF(AND(OR(Search!$N$5="",ISNUMBER(SEARCH(Search!$N$5,J542))),OR(Search!$N$6="",ISNUMBER(SEARCH(Search!$N$6,J542))),OR(Search!$N$7="",ISNUMBER(SEARCH(Search!$N$7,J542))),OR(Search!$N$8="",ISNUMBER(SEARCH(Search!$N$8,J542)))),1,0))</f>
        <v>0</v>
      </c>
      <c r="L542" s="1" t="n">
        <f aca="false">L541+K542</f>
        <v>0</v>
      </c>
    </row>
    <row r="543" customFormat="false" ht="15" hidden="false" customHeight="true" outlineLevel="0" collapsed="false">
      <c r="A543" s="1" t="s">
        <v>273</v>
      </c>
      <c r="B543" s="1" t="s">
        <v>1221</v>
      </c>
      <c r="C543" s="1" t="n">
        <v>87</v>
      </c>
      <c r="E543" s="1" t="s">
        <v>1581</v>
      </c>
      <c r="F543" s="1" t="s">
        <v>1483</v>
      </c>
      <c r="G543" s="1" t="s">
        <v>1484</v>
      </c>
      <c r="J543" s="1" t="s">
        <v>1582</v>
      </c>
      <c r="K543" s="1" t="n">
        <f aca="false">IF(Search!$D$5="",0,IF(AND(OR(Search!$N$5="",ISNUMBER(SEARCH(Search!$N$5,J543))),OR(Search!$N$6="",ISNUMBER(SEARCH(Search!$N$6,J543))),OR(Search!$N$7="",ISNUMBER(SEARCH(Search!$N$7,J543))),OR(Search!$N$8="",ISNUMBER(SEARCH(Search!$N$8,J543)))),1,0))</f>
        <v>0</v>
      </c>
      <c r="L543" s="1" t="n">
        <f aca="false">L542+K543</f>
        <v>0</v>
      </c>
    </row>
    <row r="544" customFormat="false" ht="15" hidden="false" customHeight="true" outlineLevel="0" collapsed="false">
      <c r="A544" s="1" t="s">
        <v>273</v>
      </c>
      <c r="B544" s="1" t="s">
        <v>1221</v>
      </c>
      <c r="C544" s="1" t="n">
        <v>88</v>
      </c>
      <c r="E544" s="1" t="s">
        <v>1583</v>
      </c>
      <c r="F544" s="1" t="s">
        <v>1584</v>
      </c>
      <c r="G544" s="1" t="s">
        <v>1585</v>
      </c>
      <c r="J544" s="1" t="s">
        <v>1586</v>
      </c>
      <c r="K544" s="1" t="n">
        <f aca="false">IF(Search!$D$5="",0,IF(AND(OR(Search!$N$5="",ISNUMBER(SEARCH(Search!$N$5,J544))),OR(Search!$N$6="",ISNUMBER(SEARCH(Search!$N$6,J544))),OR(Search!$N$7="",ISNUMBER(SEARCH(Search!$N$7,J544))),OR(Search!$N$8="",ISNUMBER(SEARCH(Search!$N$8,J544)))),1,0))</f>
        <v>0</v>
      </c>
      <c r="L544" s="1" t="n">
        <f aca="false">L543+K544</f>
        <v>0</v>
      </c>
    </row>
    <row r="545" customFormat="false" ht="15" hidden="false" customHeight="true" outlineLevel="0" collapsed="false">
      <c r="A545" s="1" t="s">
        <v>273</v>
      </c>
      <c r="B545" s="1" t="s">
        <v>1221</v>
      </c>
      <c r="C545" s="1" t="n">
        <v>89</v>
      </c>
      <c r="E545" s="1" t="s">
        <v>1587</v>
      </c>
      <c r="F545" s="1" t="s">
        <v>1588</v>
      </c>
      <c r="G545" s="1" t="s">
        <v>1589</v>
      </c>
      <c r="J545" s="1" t="s">
        <v>1590</v>
      </c>
      <c r="K545" s="1" t="n">
        <f aca="false">IF(Search!$D$5="",0,IF(AND(OR(Search!$N$5="",ISNUMBER(SEARCH(Search!$N$5,J545))),OR(Search!$N$6="",ISNUMBER(SEARCH(Search!$N$6,J545))),OR(Search!$N$7="",ISNUMBER(SEARCH(Search!$N$7,J545))),OR(Search!$N$8="",ISNUMBER(SEARCH(Search!$N$8,J545)))),1,0))</f>
        <v>0</v>
      </c>
      <c r="L545" s="1" t="n">
        <f aca="false">L544+K545</f>
        <v>0</v>
      </c>
    </row>
    <row r="546" customFormat="false" ht="15" hidden="false" customHeight="true" outlineLevel="0" collapsed="false">
      <c r="A546" s="1" t="s">
        <v>273</v>
      </c>
      <c r="B546" s="1" t="s">
        <v>1221</v>
      </c>
      <c r="C546" s="1" t="n">
        <v>90</v>
      </c>
      <c r="E546" s="1" t="s">
        <v>1591</v>
      </c>
      <c r="F546" s="1" t="s">
        <v>1390</v>
      </c>
      <c r="G546" s="1" t="s">
        <v>1592</v>
      </c>
      <c r="J546" s="1" t="s">
        <v>1593</v>
      </c>
      <c r="K546" s="1" t="n">
        <f aca="false">IF(Search!$D$5="",0,IF(AND(OR(Search!$N$5="",ISNUMBER(SEARCH(Search!$N$5,J546))),OR(Search!$N$6="",ISNUMBER(SEARCH(Search!$N$6,J546))),OR(Search!$N$7="",ISNUMBER(SEARCH(Search!$N$7,J546))),OR(Search!$N$8="",ISNUMBER(SEARCH(Search!$N$8,J546)))),1,0))</f>
        <v>0</v>
      </c>
      <c r="L546" s="1" t="n">
        <f aca="false">L545+K546</f>
        <v>0</v>
      </c>
    </row>
    <row r="547" customFormat="false" ht="15" hidden="false" customHeight="true" outlineLevel="0" collapsed="false">
      <c r="A547" s="1" t="s">
        <v>273</v>
      </c>
      <c r="B547" s="1" t="s">
        <v>1221</v>
      </c>
      <c r="C547" s="1" t="n">
        <v>91</v>
      </c>
      <c r="E547" s="1" t="s">
        <v>1594</v>
      </c>
      <c r="F547" s="1" t="s">
        <v>1595</v>
      </c>
      <c r="G547" s="1" t="s">
        <v>1596</v>
      </c>
      <c r="J547" s="1" t="s">
        <v>1597</v>
      </c>
      <c r="K547" s="1" t="n">
        <f aca="false">IF(Search!$D$5="",0,IF(AND(OR(Search!$N$5="",ISNUMBER(SEARCH(Search!$N$5,J547))),OR(Search!$N$6="",ISNUMBER(SEARCH(Search!$N$6,J547))),OR(Search!$N$7="",ISNUMBER(SEARCH(Search!$N$7,J547))),OR(Search!$N$8="",ISNUMBER(SEARCH(Search!$N$8,J547)))),1,0))</f>
        <v>0</v>
      </c>
      <c r="L547" s="1" t="n">
        <f aca="false">L546+K547</f>
        <v>0</v>
      </c>
    </row>
    <row r="548" customFormat="false" ht="15" hidden="false" customHeight="true" outlineLevel="0" collapsed="false">
      <c r="A548" s="1" t="s">
        <v>273</v>
      </c>
      <c r="B548" s="1" t="s">
        <v>1221</v>
      </c>
      <c r="C548" s="1" t="n">
        <v>92</v>
      </c>
      <c r="E548" s="1" t="s">
        <v>1598</v>
      </c>
      <c r="F548" s="1" t="s">
        <v>1599</v>
      </c>
      <c r="G548" s="1" t="s">
        <v>1600</v>
      </c>
      <c r="J548" s="1" t="s">
        <v>1601</v>
      </c>
      <c r="K548" s="1" t="n">
        <f aca="false">IF(Search!$D$5="",0,IF(AND(OR(Search!$N$5="",ISNUMBER(SEARCH(Search!$N$5,J548))),OR(Search!$N$6="",ISNUMBER(SEARCH(Search!$N$6,J548))),OR(Search!$N$7="",ISNUMBER(SEARCH(Search!$N$7,J548))),OR(Search!$N$8="",ISNUMBER(SEARCH(Search!$N$8,J548)))),1,0))</f>
        <v>0</v>
      </c>
      <c r="L548" s="1" t="n">
        <f aca="false">L547+K548</f>
        <v>0</v>
      </c>
    </row>
    <row r="549" customFormat="false" ht="15" hidden="false" customHeight="true" outlineLevel="0" collapsed="false">
      <c r="A549" s="1" t="s">
        <v>273</v>
      </c>
      <c r="B549" s="1" t="s">
        <v>1221</v>
      </c>
      <c r="C549" s="1" t="n">
        <v>93</v>
      </c>
      <c r="E549" s="1" t="s">
        <v>1602</v>
      </c>
      <c r="F549" s="1" t="s">
        <v>1603</v>
      </c>
      <c r="G549" s="1" t="s">
        <v>1604</v>
      </c>
      <c r="J549" s="1" t="s">
        <v>1605</v>
      </c>
      <c r="K549" s="1" t="n">
        <f aca="false">IF(Search!$D$5="",0,IF(AND(OR(Search!$N$5="",ISNUMBER(SEARCH(Search!$N$5,J549))),OR(Search!$N$6="",ISNUMBER(SEARCH(Search!$N$6,J549))),OR(Search!$N$7="",ISNUMBER(SEARCH(Search!$N$7,J549))),OR(Search!$N$8="",ISNUMBER(SEARCH(Search!$N$8,J549)))),1,0))</f>
        <v>0</v>
      </c>
      <c r="L549" s="1" t="n">
        <f aca="false">L548+K549</f>
        <v>0</v>
      </c>
    </row>
    <row r="550" customFormat="false" ht="15" hidden="false" customHeight="true" outlineLevel="0" collapsed="false">
      <c r="A550" s="1" t="s">
        <v>273</v>
      </c>
      <c r="B550" s="1" t="s">
        <v>1221</v>
      </c>
      <c r="C550" s="1" t="n">
        <v>94</v>
      </c>
      <c r="E550" s="1" t="s">
        <v>1606</v>
      </c>
      <c r="F550" s="1" t="s">
        <v>1607</v>
      </c>
      <c r="G550" s="1" t="s">
        <v>1608</v>
      </c>
      <c r="J550" s="1" t="s">
        <v>1609</v>
      </c>
      <c r="K550" s="1" t="n">
        <f aca="false">IF(Search!$D$5="",0,IF(AND(OR(Search!$N$5="",ISNUMBER(SEARCH(Search!$N$5,J550))),OR(Search!$N$6="",ISNUMBER(SEARCH(Search!$N$6,J550))),OR(Search!$N$7="",ISNUMBER(SEARCH(Search!$N$7,J550))),OR(Search!$N$8="",ISNUMBER(SEARCH(Search!$N$8,J550)))),1,0))</f>
        <v>0</v>
      </c>
      <c r="L550" s="1" t="n">
        <f aca="false">L549+K550</f>
        <v>0</v>
      </c>
    </row>
    <row r="551" customFormat="false" ht="15" hidden="false" customHeight="true" outlineLevel="0" collapsed="false">
      <c r="A551" s="1" t="s">
        <v>273</v>
      </c>
      <c r="B551" s="1" t="s">
        <v>1221</v>
      </c>
      <c r="C551" s="1" t="n">
        <v>95</v>
      </c>
      <c r="E551" s="1" t="s">
        <v>1610</v>
      </c>
      <c r="F551" s="1" t="s">
        <v>1611</v>
      </c>
      <c r="G551" s="1" t="s">
        <v>1612</v>
      </c>
      <c r="J551" s="1" t="s">
        <v>1613</v>
      </c>
      <c r="K551" s="1" t="n">
        <f aca="false">IF(Search!$D$5="",0,IF(AND(OR(Search!$N$5="",ISNUMBER(SEARCH(Search!$N$5,J551))),OR(Search!$N$6="",ISNUMBER(SEARCH(Search!$N$6,J551))),OR(Search!$N$7="",ISNUMBER(SEARCH(Search!$N$7,J551))),OR(Search!$N$8="",ISNUMBER(SEARCH(Search!$N$8,J551)))),1,0))</f>
        <v>0</v>
      </c>
      <c r="L551" s="1" t="n">
        <f aca="false">L550+K551</f>
        <v>0</v>
      </c>
    </row>
    <row r="552" customFormat="false" ht="15" hidden="false" customHeight="true" outlineLevel="0" collapsed="false">
      <c r="A552" s="1" t="s">
        <v>273</v>
      </c>
      <c r="B552" s="1" t="s">
        <v>1221</v>
      </c>
      <c r="C552" s="1" t="n">
        <v>96</v>
      </c>
      <c r="E552" s="1" t="s">
        <v>1614</v>
      </c>
      <c r="F552" s="1" t="s">
        <v>1615</v>
      </c>
      <c r="G552" s="1" t="s">
        <v>1616</v>
      </c>
      <c r="J552" s="1" t="s">
        <v>1617</v>
      </c>
      <c r="K552" s="1" t="n">
        <f aca="false">IF(Search!$D$5="",0,IF(AND(OR(Search!$N$5="",ISNUMBER(SEARCH(Search!$N$5,J552))),OR(Search!$N$6="",ISNUMBER(SEARCH(Search!$N$6,J552))),OR(Search!$N$7="",ISNUMBER(SEARCH(Search!$N$7,J552))),OR(Search!$N$8="",ISNUMBER(SEARCH(Search!$N$8,J552)))),1,0))</f>
        <v>0</v>
      </c>
      <c r="L552" s="1" t="n">
        <f aca="false">L551+K552</f>
        <v>0</v>
      </c>
    </row>
    <row r="553" customFormat="false" ht="15" hidden="false" customHeight="true" outlineLevel="0" collapsed="false">
      <c r="A553" s="1" t="s">
        <v>273</v>
      </c>
      <c r="B553" s="1" t="s">
        <v>1221</v>
      </c>
      <c r="C553" s="1" t="n">
        <v>97</v>
      </c>
      <c r="E553" s="1" t="s">
        <v>1618</v>
      </c>
      <c r="F553" s="1" t="s">
        <v>1475</v>
      </c>
      <c r="G553" s="1" t="s">
        <v>1476</v>
      </c>
      <c r="J553" s="1" t="s">
        <v>1619</v>
      </c>
      <c r="K553" s="1" t="n">
        <f aca="false">IF(Search!$D$5="",0,IF(AND(OR(Search!$N$5="",ISNUMBER(SEARCH(Search!$N$5,J553))),OR(Search!$N$6="",ISNUMBER(SEARCH(Search!$N$6,J553))),OR(Search!$N$7="",ISNUMBER(SEARCH(Search!$N$7,J553))),OR(Search!$N$8="",ISNUMBER(SEARCH(Search!$N$8,J553)))),1,0))</f>
        <v>0</v>
      </c>
      <c r="L553" s="1" t="n">
        <f aca="false">L552+K553</f>
        <v>0</v>
      </c>
    </row>
    <row r="554" customFormat="false" ht="15" hidden="false" customHeight="true" outlineLevel="0" collapsed="false">
      <c r="A554" s="1" t="s">
        <v>273</v>
      </c>
      <c r="B554" s="1" t="s">
        <v>1221</v>
      </c>
      <c r="C554" s="1" t="n">
        <v>98</v>
      </c>
      <c r="E554" s="1" t="s">
        <v>1620</v>
      </c>
      <c r="F554" s="1" t="s">
        <v>1347</v>
      </c>
      <c r="G554" s="1" t="s">
        <v>1621</v>
      </c>
      <c r="J554" s="1" t="s">
        <v>1622</v>
      </c>
      <c r="K554" s="1" t="n">
        <f aca="false">IF(Search!$D$5="",0,IF(AND(OR(Search!$N$5="",ISNUMBER(SEARCH(Search!$N$5,J554))),OR(Search!$N$6="",ISNUMBER(SEARCH(Search!$N$6,J554))),OR(Search!$N$7="",ISNUMBER(SEARCH(Search!$N$7,J554))),OR(Search!$N$8="",ISNUMBER(SEARCH(Search!$N$8,J554)))),1,0))</f>
        <v>0</v>
      </c>
      <c r="L554" s="1" t="n">
        <f aca="false">L553+K554</f>
        <v>0</v>
      </c>
    </row>
    <row r="555" customFormat="false" ht="15" hidden="false" customHeight="true" outlineLevel="0" collapsed="false">
      <c r="A555" s="1" t="s">
        <v>273</v>
      </c>
      <c r="B555" s="1" t="s">
        <v>1221</v>
      </c>
      <c r="C555" s="1" t="n">
        <v>99</v>
      </c>
      <c r="E555" s="1" t="s">
        <v>1623</v>
      </c>
      <c r="F555" s="1" t="s">
        <v>1624</v>
      </c>
      <c r="G555" s="1" t="s">
        <v>1625</v>
      </c>
      <c r="J555" s="1" t="s">
        <v>1626</v>
      </c>
      <c r="K555" s="1" t="n">
        <f aca="false">IF(Search!$D$5="",0,IF(AND(OR(Search!$N$5="",ISNUMBER(SEARCH(Search!$N$5,J555))),OR(Search!$N$6="",ISNUMBER(SEARCH(Search!$N$6,J555))),OR(Search!$N$7="",ISNUMBER(SEARCH(Search!$N$7,J555))),OR(Search!$N$8="",ISNUMBER(SEARCH(Search!$N$8,J555)))),1,0))</f>
        <v>0</v>
      </c>
      <c r="L555" s="1" t="n">
        <f aca="false">L554+K555</f>
        <v>0</v>
      </c>
    </row>
    <row r="556" customFormat="false" ht="15" hidden="false" customHeight="true" outlineLevel="0" collapsed="false">
      <c r="A556" s="1" t="s">
        <v>273</v>
      </c>
      <c r="B556" s="1" t="s">
        <v>1221</v>
      </c>
      <c r="C556" s="1" t="n">
        <v>100</v>
      </c>
      <c r="E556" s="1" t="s">
        <v>1627</v>
      </c>
      <c r="F556" s="1" t="s">
        <v>1628</v>
      </c>
      <c r="G556" s="1" t="s">
        <v>1629</v>
      </c>
      <c r="J556" s="1" t="s">
        <v>1630</v>
      </c>
      <c r="K556" s="1" t="n">
        <f aca="false">IF(Search!$D$5="",0,IF(AND(OR(Search!$N$5="",ISNUMBER(SEARCH(Search!$N$5,J556))),OR(Search!$N$6="",ISNUMBER(SEARCH(Search!$N$6,J556))),OR(Search!$N$7="",ISNUMBER(SEARCH(Search!$N$7,J556))),OR(Search!$N$8="",ISNUMBER(SEARCH(Search!$N$8,J556)))),1,0))</f>
        <v>0</v>
      </c>
      <c r="L556" s="1" t="n">
        <f aca="false">L555+K556</f>
        <v>0</v>
      </c>
    </row>
    <row r="557" customFormat="false" ht="15" hidden="false" customHeight="true" outlineLevel="0" collapsed="false">
      <c r="A557" s="1" t="s">
        <v>273</v>
      </c>
      <c r="B557" s="1" t="s">
        <v>1221</v>
      </c>
      <c r="C557" s="1" t="n">
        <v>101</v>
      </c>
      <c r="E557" s="1" t="s">
        <v>1631</v>
      </c>
      <c r="F557" s="1" t="s">
        <v>1632</v>
      </c>
      <c r="G557" s="1" t="s">
        <v>1633</v>
      </c>
      <c r="J557" s="1" t="s">
        <v>1634</v>
      </c>
      <c r="K557" s="1" t="n">
        <f aca="false">IF(Search!$D$5="",0,IF(AND(OR(Search!$N$5="",ISNUMBER(SEARCH(Search!$N$5,J557))),OR(Search!$N$6="",ISNUMBER(SEARCH(Search!$N$6,J557))),OR(Search!$N$7="",ISNUMBER(SEARCH(Search!$N$7,J557))),OR(Search!$N$8="",ISNUMBER(SEARCH(Search!$N$8,J557)))),1,0))</f>
        <v>0</v>
      </c>
      <c r="L557" s="1" t="n">
        <f aca="false">L556+K557</f>
        <v>0</v>
      </c>
    </row>
    <row r="558" customFormat="false" ht="15" hidden="false" customHeight="true" outlineLevel="0" collapsed="false">
      <c r="A558" s="1" t="s">
        <v>273</v>
      </c>
      <c r="B558" s="1" t="s">
        <v>1221</v>
      </c>
      <c r="C558" s="1" t="n">
        <v>102</v>
      </c>
      <c r="E558" s="1" t="s">
        <v>1635</v>
      </c>
      <c r="F558" s="1" t="s">
        <v>1636</v>
      </c>
      <c r="G558" s="1" t="s">
        <v>1637</v>
      </c>
      <c r="J558" s="1" t="s">
        <v>1638</v>
      </c>
      <c r="K558" s="1" t="n">
        <f aca="false">IF(Search!$D$5="",0,IF(AND(OR(Search!$N$5="",ISNUMBER(SEARCH(Search!$N$5,J558))),OR(Search!$N$6="",ISNUMBER(SEARCH(Search!$N$6,J558))),OR(Search!$N$7="",ISNUMBER(SEARCH(Search!$N$7,J558))),OR(Search!$N$8="",ISNUMBER(SEARCH(Search!$N$8,J558)))),1,0))</f>
        <v>0</v>
      </c>
      <c r="L558" s="1" t="n">
        <f aca="false">L557+K558</f>
        <v>0</v>
      </c>
    </row>
    <row r="559" customFormat="false" ht="15" hidden="false" customHeight="true" outlineLevel="0" collapsed="false">
      <c r="A559" s="1" t="s">
        <v>273</v>
      </c>
      <c r="B559" s="1" t="s">
        <v>1221</v>
      </c>
      <c r="C559" s="1" t="n">
        <v>103</v>
      </c>
      <c r="E559" s="1" t="s">
        <v>1639</v>
      </c>
      <c r="F559" s="1" t="s">
        <v>1359</v>
      </c>
      <c r="G559" s="1" t="s">
        <v>1491</v>
      </c>
      <c r="J559" s="1" t="s">
        <v>1640</v>
      </c>
      <c r="K559" s="1" t="n">
        <f aca="false">IF(Search!$D$5="",0,IF(AND(OR(Search!$N$5="",ISNUMBER(SEARCH(Search!$N$5,J559))),OR(Search!$N$6="",ISNUMBER(SEARCH(Search!$N$6,J559))),OR(Search!$N$7="",ISNUMBER(SEARCH(Search!$N$7,J559))),OR(Search!$N$8="",ISNUMBER(SEARCH(Search!$N$8,J559)))),1,0))</f>
        <v>0</v>
      </c>
      <c r="L559" s="1" t="n">
        <f aca="false">L558+K559</f>
        <v>0</v>
      </c>
    </row>
    <row r="560" customFormat="false" ht="15" hidden="false" customHeight="true" outlineLevel="0" collapsed="false">
      <c r="A560" s="1" t="s">
        <v>273</v>
      </c>
      <c r="B560" s="1" t="s">
        <v>1221</v>
      </c>
      <c r="C560" s="1" t="n">
        <v>104</v>
      </c>
      <c r="E560" s="1" t="s">
        <v>1641</v>
      </c>
      <c r="F560" s="1" t="s">
        <v>1642</v>
      </c>
      <c r="G560" s="1" t="s">
        <v>1643</v>
      </c>
      <c r="J560" s="1" t="s">
        <v>1644</v>
      </c>
      <c r="K560" s="1" t="n">
        <f aca="false">IF(Search!$D$5="",0,IF(AND(OR(Search!$N$5="",ISNUMBER(SEARCH(Search!$N$5,J560))),OR(Search!$N$6="",ISNUMBER(SEARCH(Search!$N$6,J560))),OR(Search!$N$7="",ISNUMBER(SEARCH(Search!$N$7,J560))),OR(Search!$N$8="",ISNUMBER(SEARCH(Search!$N$8,J560)))),1,0))</f>
        <v>0</v>
      </c>
      <c r="L560" s="1" t="n">
        <f aca="false">L559+K560</f>
        <v>0</v>
      </c>
    </row>
    <row r="561" customFormat="false" ht="15" hidden="false" customHeight="true" outlineLevel="0" collapsed="false">
      <c r="A561" s="1" t="s">
        <v>273</v>
      </c>
      <c r="B561" s="1" t="s">
        <v>1221</v>
      </c>
      <c r="C561" s="1" t="n">
        <v>105</v>
      </c>
      <c r="E561" s="1" t="s">
        <v>1645</v>
      </c>
      <c r="F561" s="1" t="s">
        <v>1595</v>
      </c>
      <c r="G561" s="1" t="s">
        <v>1596</v>
      </c>
      <c r="J561" s="1" t="s">
        <v>1646</v>
      </c>
      <c r="K561" s="1" t="n">
        <f aca="false">IF(Search!$D$5="",0,IF(AND(OR(Search!$N$5="",ISNUMBER(SEARCH(Search!$N$5,J561))),OR(Search!$N$6="",ISNUMBER(SEARCH(Search!$N$6,J561))),OR(Search!$N$7="",ISNUMBER(SEARCH(Search!$N$7,J561))),OR(Search!$N$8="",ISNUMBER(SEARCH(Search!$N$8,J561)))),1,0))</f>
        <v>0</v>
      </c>
      <c r="L561" s="1" t="n">
        <f aca="false">L560+K561</f>
        <v>0</v>
      </c>
    </row>
    <row r="562" customFormat="false" ht="15" hidden="false" customHeight="true" outlineLevel="0" collapsed="false">
      <c r="A562" s="1" t="s">
        <v>273</v>
      </c>
      <c r="B562" s="1" t="s">
        <v>1221</v>
      </c>
      <c r="C562" s="1" t="n">
        <v>106</v>
      </c>
      <c r="E562" s="1" t="s">
        <v>1647</v>
      </c>
      <c r="F562" s="1" t="s">
        <v>1648</v>
      </c>
      <c r="G562" s="1" t="s">
        <v>1649</v>
      </c>
      <c r="J562" s="1" t="s">
        <v>1650</v>
      </c>
      <c r="K562" s="1" t="n">
        <f aca="false">IF(Search!$D$5="",0,IF(AND(OR(Search!$N$5="",ISNUMBER(SEARCH(Search!$N$5,J562))),OR(Search!$N$6="",ISNUMBER(SEARCH(Search!$N$6,J562))),OR(Search!$N$7="",ISNUMBER(SEARCH(Search!$N$7,J562))),OR(Search!$N$8="",ISNUMBER(SEARCH(Search!$N$8,J562)))),1,0))</f>
        <v>0</v>
      </c>
      <c r="L562" s="1" t="n">
        <f aca="false">L561+K562</f>
        <v>0</v>
      </c>
    </row>
    <row r="563" customFormat="false" ht="15" hidden="false" customHeight="true" outlineLevel="0" collapsed="false">
      <c r="A563" s="1" t="s">
        <v>273</v>
      </c>
      <c r="B563" s="1" t="s">
        <v>1221</v>
      </c>
      <c r="C563" s="1" t="n">
        <v>107</v>
      </c>
      <c r="E563" s="1" t="s">
        <v>1651</v>
      </c>
      <c r="F563" s="1" t="s">
        <v>1502</v>
      </c>
      <c r="G563" s="1" t="s">
        <v>1503</v>
      </c>
      <c r="J563" s="1" t="s">
        <v>1652</v>
      </c>
      <c r="K563" s="1" t="n">
        <f aca="false">IF(Search!$D$5="",0,IF(AND(OR(Search!$N$5="",ISNUMBER(SEARCH(Search!$N$5,J563))),OR(Search!$N$6="",ISNUMBER(SEARCH(Search!$N$6,J563))),OR(Search!$N$7="",ISNUMBER(SEARCH(Search!$N$7,J563))),OR(Search!$N$8="",ISNUMBER(SEARCH(Search!$N$8,J563)))),1,0))</f>
        <v>0</v>
      </c>
      <c r="L563" s="1" t="n">
        <f aca="false">L562+K563</f>
        <v>0</v>
      </c>
    </row>
    <row r="564" customFormat="false" ht="15" hidden="false" customHeight="true" outlineLevel="0" collapsed="false">
      <c r="A564" s="1" t="s">
        <v>273</v>
      </c>
      <c r="B564" s="1" t="s">
        <v>1221</v>
      </c>
      <c r="C564" s="1" t="n">
        <v>108</v>
      </c>
      <c r="E564" s="1" t="s">
        <v>1653</v>
      </c>
      <c r="F564" s="1" t="s">
        <v>1654</v>
      </c>
      <c r="G564" s="1" t="s">
        <v>1655</v>
      </c>
      <c r="J564" s="1" t="s">
        <v>1656</v>
      </c>
      <c r="K564" s="1" t="n">
        <f aca="false">IF(Search!$D$5="",0,IF(AND(OR(Search!$N$5="",ISNUMBER(SEARCH(Search!$N$5,J564))),OR(Search!$N$6="",ISNUMBER(SEARCH(Search!$N$6,J564))),OR(Search!$N$7="",ISNUMBER(SEARCH(Search!$N$7,J564))),OR(Search!$N$8="",ISNUMBER(SEARCH(Search!$N$8,J564)))),1,0))</f>
        <v>0</v>
      </c>
      <c r="L564" s="1" t="n">
        <f aca="false">L563+K564</f>
        <v>0</v>
      </c>
    </row>
    <row r="565" customFormat="false" ht="15" hidden="false" customHeight="true" outlineLevel="0" collapsed="false">
      <c r="A565" s="1" t="s">
        <v>273</v>
      </c>
      <c r="B565" s="1" t="s">
        <v>1221</v>
      </c>
      <c r="C565" s="1" t="n">
        <v>109</v>
      </c>
      <c r="E565" s="1" t="s">
        <v>1657</v>
      </c>
      <c r="F565" s="1" t="s">
        <v>1607</v>
      </c>
      <c r="G565" s="1" t="s">
        <v>1608</v>
      </c>
      <c r="J565" s="1" t="s">
        <v>1658</v>
      </c>
      <c r="K565" s="1" t="n">
        <f aca="false">IF(Search!$D$5="",0,IF(AND(OR(Search!$N$5="",ISNUMBER(SEARCH(Search!$N$5,J565))),OR(Search!$N$6="",ISNUMBER(SEARCH(Search!$N$6,J565))),OR(Search!$N$7="",ISNUMBER(SEARCH(Search!$N$7,J565))),OR(Search!$N$8="",ISNUMBER(SEARCH(Search!$N$8,J565)))),1,0))</f>
        <v>0</v>
      </c>
      <c r="L565" s="1" t="n">
        <f aca="false">L564+K565</f>
        <v>0</v>
      </c>
    </row>
    <row r="566" customFormat="false" ht="15" hidden="false" customHeight="true" outlineLevel="0" collapsed="false">
      <c r="A566" s="1" t="s">
        <v>273</v>
      </c>
      <c r="B566" s="1" t="s">
        <v>1221</v>
      </c>
      <c r="C566" s="1" t="n">
        <v>110</v>
      </c>
      <c r="E566" s="1" t="s">
        <v>1659</v>
      </c>
      <c r="F566" s="1" t="s">
        <v>1660</v>
      </c>
      <c r="G566" s="1" t="s">
        <v>1661</v>
      </c>
      <c r="J566" s="1" t="s">
        <v>1662</v>
      </c>
      <c r="K566" s="1" t="n">
        <f aca="false">IF(Search!$D$5="",0,IF(AND(OR(Search!$N$5="",ISNUMBER(SEARCH(Search!$N$5,J566))),OR(Search!$N$6="",ISNUMBER(SEARCH(Search!$N$6,J566))),OR(Search!$N$7="",ISNUMBER(SEARCH(Search!$N$7,J566))),OR(Search!$N$8="",ISNUMBER(SEARCH(Search!$N$8,J566)))),1,0))</f>
        <v>0</v>
      </c>
      <c r="L566" s="1" t="n">
        <f aca="false">L565+K566</f>
        <v>0</v>
      </c>
    </row>
    <row r="567" customFormat="false" ht="15" hidden="false" customHeight="true" outlineLevel="0" collapsed="false">
      <c r="A567" s="1" t="s">
        <v>273</v>
      </c>
      <c r="B567" s="1" t="s">
        <v>1221</v>
      </c>
      <c r="C567" s="1" t="n">
        <v>111</v>
      </c>
      <c r="E567" s="1" t="s">
        <v>1663</v>
      </c>
      <c r="F567" s="1" t="s">
        <v>1664</v>
      </c>
      <c r="G567" s="1" t="s">
        <v>1665</v>
      </c>
      <c r="J567" s="1" t="s">
        <v>1666</v>
      </c>
      <c r="K567" s="1" t="n">
        <f aca="false">IF(Search!$D$5="",0,IF(AND(OR(Search!$N$5="",ISNUMBER(SEARCH(Search!$N$5,J567))),OR(Search!$N$6="",ISNUMBER(SEARCH(Search!$N$6,J567))),OR(Search!$N$7="",ISNUMBER(SEARCH(Search!$N$7,J567))),OR(Search!$N$8="",ISNUMBER(SEARCH(Search!$N$8,J567)))),1,0))</f>
        <v>0</v>
      </c>
      <c r="L567" s="1" t="n">
        <f aca="false">L566+K567</f>
        <v>0</v>
      </c>
    </row>
    <row r="568" customFormat="false" ht="15" hidden="false" customHeight="true" outlineLevel="0" collapsed="false">
      <c r="A568" s="1" t="s">
        <v>273</v>
      </c>
      <c r="B568" s="1" t="s">
        <v>1221</v>
      </c>
      <c r="C568" s="1" t="n">
        <v>112</v>
      </c>
      <c r="E568" s="1" t="s">
        <v>1667</v>
      </c>
      <c r="F568" s="1" t="s">
        <v>1668</v>
      </c>
      <c r="G568" s="1" t="s">
        <v>1669</v>
      </c>
      <c r="J568" s="1" t="s">
        <v>1670</v>
      </c>
      <c r="K568" s="1" t="n">
        <f aca="false">IF(Search!$D$5="",0,IF(AND(OR(Search!$N$5="",ISNUMBER(SEARCH(Search!$N$5,J568))),OR(Search!$N$6="",ISNUMBER(SEARCH(Search!$N$6,J568))),OR(Search!$N$7="",ISNUMBER(SEARCH(Search!$N$7,J568))),OR(Search!$N$8="",ISNUMBER(SEARCH(Search!$N$8,J568)))),1,0))</f>
        <v>0</v>
      </c>
      <c r="L568" s="1" t="n">
        <f aca="false">L567+K568</f>
        <v>0</v>
      </c>
    </row>
    <row r="569" customFormat="false" ht="15" hidden="false" customHeight="true" outlineLevel="0" collapsed="false">
      <c r="A569" s="1" t="s">
        <v>273</v>
      </c>
      <c r="B569" s="1" t="s">
        <v>1221</v>
      </c>
      <c r="C569" s="1" t="n">
        <v>113</v>
      </c>
      <c r="E569" s="1" t="s">
        <v>1671</v>
      </c>
      <c r="F569" s="1" t="s">
        <v>1532</v>
      </c>
      <c r="G569" s="1" t="s">
        <v>1533</v>
      </c>
      <c r="J569" s="1" t="s">
        <v>1672</v>
      </c>
      <c r="K569" s="1" t="n">
        <f aca="false">IF(Search!$D$5="",0,IF(AND(OR(Search!$N$5="",ISNUMBER(SEARCH(Search!$N$5,J569))),OR(Search!$N$6="",ISNUMBER(SEARCH(Search!$N$6,J569))),OR(Search!$N$7="",ISNUMBER(SEARCH(Search!$N$7,J569))),OR(Search!$N$8="",ISNUMBER(SEARCH(Search!$N$8,J569)))),1,0))</f>
        <v>0</v>
      </c>
      <c r="L569" s="1" t="n">
        <f aca="false">L568+K569</f>
        <v>0</v>
      </c>
    </row>
    <row r="570" customFormat="false" ht="15" hidden="false" customHeight="true" outlineLevel="0" collapsed="false">
      <c r="A570" s="1" t="s">
        <v>273</v>
      </c>
      <c r="B570" s="1" t="s">
        <v>1221</v>
      </c>
      <c r="C570" s="1" t="n">
        <v>114</v>
      </c>
      <c r="E570" s="1" t="s">
        <v>1673</v>
      </c>
      <c r="F570" s="1" t="s">
        <v>1382</v>
      </c>
      <c r="G570" s="1" t="s">
        <v>1674</v>
      </c>
      <c r="J570" s="1" t="s">
        <v>1675</v>
      </c>
      <c r="K570" s="1" t="n">
        <f aca="false">IF(Search!$D$5="",0,IF(AND(OR(Search!$N$5="",ISNUMBER(SEARCH(Search!$N$5,J570))),OR(Search!$N$6="",ISNUMBER(SEARCH(Search!$N$6,J570))),OR(Search!$N$7="",ISNUMBER(SEARCH(Search!$N$7,J570))),OR(Search!$N$8="",ISNUMBER(SEARCH(Search!$N$8,J570)))),1,0))</f>
        <v>0</v>
      </c>
      <c r="L570" s="1" t="n">
        <f aca="false">L569+K570</f>
        <v>0</v>
      </c>
    </row>
    <row r="571" customFormat="false" ht="15" hidden="false" customHeight="true" outlineLevel="0" collapsed="false">
      <c r="A571" s="1" t="s">
        <v>273</v>
      </c>
      <c r="B571" s="1" t="s">
        <v>1221</v>
      </c>
      <c r="C571" s="1" t="n">
        <v>115</v>
      </c>
      <c r="E571" s="1" t="s">
        <v>1676</v>
      </c>
      <c r="F571" s="1" t="s">
        <v>1677</v>
      </c>
      <c r="G571" s="1" t="s">
        <v>1678</v>
      </c>
      <c r="J571" s="1" t="s">
        <v>1679</v>
      </c>
      <c r="K571" s="1" t="n">
        <f aca="false">IF(Search!$D$5="",0,IF(AND(OR(Search!$N$5="",ISNUMBER(SEARCH(Search!$N$5,J571))),OR(Search!$N$6="",ISNUMBER(SEARCH(Search!$N$6,J571))),OR(Search!$N$7="",ISNUMBER(SEARCH(Search!$N$7,J571))),OR(Search!$N$8="",ISNUMBER(SEARCH(Search!$N$8,J571)))),1,0))</f>
        <v>0</v>
      </c>
      <c r="L571" s="1" t="n">
        <f aca="false">L570+K571</f>
        <v>0</v>
      </c>
    </row>
    <row r="572" customFormat="false" ht="15" hidden="false" customHeight="true" outlineLevel="0" collapsed="false">
      <c r="A572" s="1" t="s">
        <v>273</v>
      </c>
      <c r="B572" s="1" t="s">
        <v>1221</v>
      </c>
      <c r="C572" s="1" t="n">
        <v>116</v>
      </c>
      <c r="E572" s="1" t="s">
        <v>1680</v>
      </c>
      <c r="F572" s="1" t="s">
        <v>1681</v>
      </c>
      <c r="G572" s="1" t="s">
        <v>1682</v>
      </c>
      <c r="J572" s="1" t="s">
        <v>1683</v>
      </c>
      <c r="K572" s="1" t="n">
        <f aca="false">IF(Search!$D$5="",0,IF(AND(OR(Search!$N$5="",ISNUMBER(SEARCH(Search!$N$5,J572))),OR(Search!$N$6="",ISNUMBER(SEARCH(Search!$N$6,J572))),OR(Search!$N$7="",ISNUMBER(SEARCH(Search!$N$7,J572))),OR(Search!$N$8="",ISNUMBER(SEARCH(Search!$N$8,J572)))),1,0))</f>
        <v>0</v>
      </c>
      <c r="L572" s="1" t="n">
        <f aca="false">L571+K572</f>
        <v>0</v>
      </c>
    </row>
    <row r="573" customFormat="false" ht="15" hidden="false" customHeight="true" outlineLevel="0" collapsed="false">
      <c r="A573" s="1" t="s">
        <v>273</v>
      </c>
      <c r="B573" s="1" t="s">
        <v>1221</v>
      </c>
      <c r="C573" s="1" t="n">
        <v>117</v>
      </c>
      <c r="E573" s="1" t="s">
        <v>1684</v>
      </c>
      <c r="F573" s="1" t="s">
        <v>1544</v>
      </c>
      <c r="G573" s="1" t="s">
        <v>1545</v>
      </c>
      <c r="J573" s="1" t="s">
        <v>1685</v>
      </c>
      <c r="K573" s="1" t="n">
        <f aca="false">IF(Search!$D$5="",0,IF(AND(OR(Search!$N$5="",ISNUMBER(SEARCH(Search!$N$5,J573))),OR(Search!$N$6="",ISNUMBER(SEARCH(Search!$N$6,J573))),OR(Search!$N$7="",ISNUMBER(SEARCH(Search!$N$7,J573))),OR(Search!$N$8="",ISNUMBER(SEARCH(Search!$N$8,J573)))),1,0))</f>
        <v>0</v>
      </c>
      <c r="L573" s="1" t="n">
        <f aca="false">L572+K573</f>
        <v>0</v>
      </c>
    </row>
    <row r="574" customFormat="false" ht="15" hidden="false" customHeight="true" outlineLevel="0" collapsed="false">
      <c r="A574" s="1" t="s">
        <v>273</v>
      </c>
      <c r="B574" s="1" t="s">
        <v>1221</v>
      </c>
      <c r="C574" s="1" t="n">
        <v>118</v>
      </c>
      <c r="E574" s="1" t="s">
        <v>1686</v>
      </c>
      <c r="F574" s="1" t="s">
        <v>1687</v>
      </c>
      <c r="G574" s="1" t="s">
        <v>1688</v>
      </c>
      <c r="J574" s="1" t="s">
        <v>1689</v>
      </c>
      <c r="K574" s="1" t="n">
        <f aca="false">IF(Search!$D$5="",0,IF(AND(OR(Search!$N$5="",ISNUMBER(SEARCH(Search!$N$5,J574))),OR(Search!$N$6="",ISNUMBER(SEARCH(Search!$N$6,J574))),OR(Search!$N$7="",ISNUMBER(SEARCH(Search!$N$7,J574))),OR(Search!$N$8="",ISNUMBER(SEARCH(Search!$N$8,J574)))),1,0))</f>
        <v>0</v>
      </c>
      <c r="L574" s="1" t="n">
        <f aca="false">L573+K574</f>
        <v>0</v>
      </c>
    </row>
    <row r="575" customFormat="false" ht="15" hidden="false" customHeight="true" outlineLevel="0" collapsed="false">
      <c r="A575" s="1" t="s">
        <v>273</v>
      </c>
      <c r="B575" s="1" t="s">
        <v>1221</v>
      </c>
      <c r="C575" s="1" t="n">
        <v>119</v>
      </c>
      <c r="E575" s="1" t="s">
        <v>1690</v>
      </c>
      <c r="F575" s="1" t="s">
        <v>1502</v>
      </c>
      <c r="G575" s="1" t="s">
        <v>1503</v>
      </c>
      <c r="J575" s="1" t="s">
        <v>1691</v>
      </c>
      <c r="K575" s="1" t="n">
        <f aca="false">IF(Search!$D$5="",0,IF(AND(OR(Search!$N$5="",ISNUMBER(SEARCH(Search!$N$5,J575))),OR(Search!$N$6="",ISNUMBER(SEARCH(Search!$N$6,J575))),OR(Search!$N$7="",ISNUMBER(SEARCH(Search!$N$7,J575))),OR(Search!$N$8="",ISNUMBER(SEARCH(Search!$N$8,J575)))),1,0))</f>
        <v>0</v>
      </c>
      <c r="L575" s="1" t="n">
        <f aca="false">L574+K575</f>
        <v>0</v>
      </c>
    </row>
    <row r="576" customFormat="false" ht="15" hidden="false" customHeight="true" outlineLevel="0" collapsed="false">
      <c r="A576" s="1" t="s">
        <v>273</v>
      </c>
      <c r="B576" s="1" t="s">
        <v>1221</v>
      </c>
      <c r="C576" s="1" t="n">
        <v>120</v>
      </c>
      <c r="E576" s="1" t="s">
        <v>1692</v>
      </c>
      <c r="F576" s="1" t="s">
        <v>1693</v>
      </c>
      <c r="G576" s="1" t="s">
        <v>1694</v>
      </c>
      <c r="J576" s="1" t="s">
        <v>1695</v>
      </c>
      <c r="K576" s="1" t="n">
        <f aca="false">IF(Search!$D$5="",0,IF(AND(OR(Search!$N$5="",ISNUMBER(SEARCH(Search!$N$5,J576))),OR(Search!$N$6="",ISNUMBER(SEARCH(Search!$N$6,J576))),OR(Search!$N$7="",ISNUMBER(SEARCH(Search!$N$7,J576))),OR(Search!$N$8="",ISNUMBER(SEARCH(Search!$N$8,J576)))),1,0))</f>
        <v>0</v>
      </c>
      <c r="L576" s="1" t="n">
        <f aca="false">L575+K576</f>
        <v>0</v>
      </c>
    </row>
    <row r="577" customFormat="false" ht="15" hidden="false" customHeight="true" outlineLevel="0" collapsed="false">
      <c r="A577" s="1" t="s">
        <v>273</v>
      </c>
      <c r="B577" s="1" t="s">
        <v>1221</v>
      </c>
      <c r="C577" s="1" t="n">
        <v>121</v>
      </c>
      <c r="E577" s="1" t="s">
        <v>1696</v>
      </c>
      <c r="F577" s="1" t="s">
        <v>1697</v>
      </c>
      <c r="G577" s="1" t="s">
        <v>1698</v>
      </c>
      <c r="J577" s="1" t="s">
        <v>1699</v>
      </c>
      <c r="K577" s="1" t="n">
        <f aca="false">IF(Search!$D$5="",0,IF(AND(OR(Search!$N$5="",ISNUMBER(SEARCH(Search!$N$5,J577))),OR(Search!$N$6="",ISNUMBER(SEARCH(Search!$N$6,J577))),OR(Search!$N$7="",ISNUMBER(SEARCH(Search!$N$7,J577))),OR(Search!$N$8="",ISNUMBER(SEARCH(Search!$N$8,J577)))),1,0))</f>
        <v>0</v>
      </c>
      <c r="L577" s="1" t="n">
        <f aca="false">L576+K577</f>
        <v>0</v>
      </c>
    </row>
    <row r="578" customFormat="false" ht="15" hidden="false" customHeight="true" outlineLevel="0" collapsed="false">
      <c r="A578" s="1" t="s">
        <v>273</v>
      </c>
      <c r="B578" s="1" t="s">
        <v>1221</v>
      </c>
      <c r="C578" s="1" t="n">
        <v>122</v>
      </c>
      <c r="E578" s="1" t="s">
        <v>1700</v>
      </c>
      <c r="F578" s="1" t="s">
        <v>1701</v>
      </c>
      <c r="G578" s="1" t="s">
        <v>1702</v>
      </c>
      <c r="J578" s="1" t="s">
        <v>1703</v>
      </c>
      <c r="K578" s="1" t="n">
        <f aca="false">IF(Search!$D$5="",0,IF(AND(OR(Search!$N$5="",ISNUMBER(SEARCH(Search!$N$5,J578))),OR(Search!$N$6="",ISNUMBER(SEARCH(Search!$N$6,J578))),OR(Search!$N$7="",ISNUMBER(SEARCH(Search!$N$7,J578))),OR(Search!$N$8="",ISNUMBER(SEARCH(Search!$N$8,J578)))),1,0))</f>
        <v>0</v>
      </c>
      <c r="L578" s="1" t="n">
        <f aca="false">L577+K578</f>
        <v>0</v>
      </c>
    </row>
    <row r="579" customFormat="false" ht="15" hidden="false" customHeight="true" outlineLevel="0" collapsed="false">
      <c r="A579" s="1" t="s">
        <v>273</v>
      </c>
      <c r="B579" s="1" t="s">
        <v>1221</v>
      </c>
      <c r="C579" s="1" t="n">
        <v>123</v>
      </c>
      <c r="E579" s="1" t="s">
        <v>1704</v>
      </c>
      <c r="F579" s="1" t="s">
        <v>1660</v>
      </c>
      <c r="G579" s="1" t="s">
        <v>1661</v>
      </c>
      <c r="J579" s="1" t="s">
        <v>1705</v>
      </c>
      <c r="K579" s="1" t="n">
        <f aca="false">IF(Search!$D$5="",0,IF(AND(OR(Search!$N$5="",ISNUMBER(SEARCH(Search!$N$5,J579))),OR(Search!$N$6="",ISNUMBER(SEARCH(Search!$N$6,J579))),OR(Search!$N$7="",ISNUMBER(SEARCH(Search!$N$7,J579))),OR(Search!$N$8="",ISNUMBER(SEARCH(Search!$N$8,J579)))),1,0))</f>
        <v>0</v>
      </c>
      <c r="L579" s="1" t="n">
        <f aca="false">L578+K579</f>
        <v>0</v>
      </c>
    </row>
    <row r="580" customFormat="false" ht="15" hidden="false" customHeight="true" outlineLevel="0" collapsed="false">
      <c r="A580" s="1" t="s">
        <v>273</v>
      </c>
      <c r="B580" s="1" t="s">
        <v>1221</v>
      </c>
      <c r="C580" s="1" t="n">
        <v>124</v>
      </c>
      <c r="E580" s="1" t="s">
        <v>1706</v>
      </c>
      <c r="F580" s="1" t="s">
        <v>1707</v>
      </c>
      <c r="G580" s="1" t="s">
        <v>1708</v>
      </c>
      <c r="J580" s="1" t="s">
        <v>1709</v>
      </c>
      <c r="K580" s="1" t="n">
        <f aca="false">IF(Search!$D$5="",0,IF(AND(OR(Search!$N$5="",ISNUMBER(SEARCH(Search!$N$5,J580))),OR(Search!$N$6="",ISNUMBER(SEARCH(Search!$N$6,J580))),OR(Search!$N$7="",ISNUMBER(SEARCH(Search!$N$7,J580))),OR(Search!$N$8="",ISNUMBER(SEARCH(Search!$N$8,J580)))),1,0))</f>
        <v>0</v>
      </c>
      <c r="L580" s="1" t="n">
        <f aca="false">L579+K580</f>
        <v>0</v>
      </c>
    </row>
    <row r="581" customFormat="false" ht="15" hidden="false" customHeight="true" outlineLevel="0" collapsed="false">
      <c r="A581" s="1" t="s">
        <v>273</v>
      </c>
      <c r="B581" s="1" t="s">
        <v>1221</v>
      </c>
      <c r="C581" s="1" t="n">
        <v>125</v>
      </c>
      <c r="E581" s="1" t="s">
        <v>1710</v>
      </c>
      <c r="F581" s="1" t="s">
        <v>1711</v>
      </c>
      <c r="G581" s="1" t="s">
        <v>1712</v>
      </c>
      <c r="J581" s="1" t="s">
        <v>1713</v>
      </c>
      <c r="K581" s="1" t="n">
        <f aca="false">IF(Search!$D$5="",0,IF(AND(OR(Search!$N$5="",ISNUMBER(SEARCH(Search!$N$5,J581))),OR(Search!$N$6="",ISNUMBER(SEARCH(Search!$N$6,J581))),OR(Search!$N$7="",ISNUMBER(SEARCH(Search!$N$7,J581))),OR(Search!$N$8="",ISNUMBER(SEARCH(Search!$N$8,J581)))),1,0))</f>
        <v>0</v>
      </c>
      <c r="L581" s="1" t="n">
        <f aca="false">L580+K581</f>
        <v>0</v>
      </c>
    </row>
    <row r="582" customFormat="false" ht="15" hidden="false" customHeight="true" outlineLevel="0" collapsed="false">
      <c r="A582" s="1" t="s">
        <v>273</v>
      </c>
      <c r="B582" s="1" t="s">
        <v>1221</v>
      </c>
      <c r="C582" s="1" t="n">
        <v>126</v>
      </c>
      <c r="E582" s="1" t="s">
        <v>1714</v>
      </c>
      <c r="F582" s="1" t="s">
        <v>1715</v>
      </c>
      <c r="G582" s="1" t="s">
        <v>1716</v>
      </c>
      <c r="J582" s="1" t="s">
        <v>1717</v>
      </c>
      <c r="K582" s="1" t="n">
        <f aca="false">IF(Search!$D$5="",0,IF(AND(OR(Search!$N$5="",ISNUMBER(SEARCH(Search!$N$5,J582))),OR(Search!$N$6="",ISNUMBER(SEARCH(Search!$N$6,J582))),OR(Search!$N$7="",ISNUMBER(SEARCH(Search!$N$7,J582))),OR(Search!$N$8="",ISNUMBER(SEARCH(Search!$N$8,J582)))),1,0))</f>
        <v>0</v>
      </c>
      <c r="L582" s="1" t="n">
        <f aca="false">L581+K582</f>
        <v>0</v>
      </c>
    </row>
    <row r="583" customFormat="false" ht="15" hidden="false" customHeight="true" outlineLevel="0" collapsed="false">
      <c r="A583" s="1" t="s">
        <v>273</v>
      </c>
      <c r="B583" s="1" t="s">
        <v>1221</v>
      </c>
      <c r="C583" s="1" t="n">
        <v>127</v>
      </c>
      <c r="E583" s="1" t="s">
        <v>1718</v>
      </c>
      <c r="F583" s="1" t="s">
        <v>1677</v>
      </c>
      <c r="G583" s="1" t="s">
        <v>1678</v>
      </c>
      <c r="J583" s="1" t="s">
        <v>1719</v>
      </c>
      <c r="K583" s="1" t="n">
        <f aca="false">IF(Search!$D$5="",0,IF(AND(OR(Search!$N$5="",ISNUMBER(SEARCH(Search!$N$5,J583))),OR(Search!$N$6="",ISNUMBER(SEARCH(Search!$N$6,J583))),OR(Search!$N$7="",ISNUMBER(SEARCH(Search!$N$7,J583))),OR(Search!$N$8="",ISNUMBER(SEARCH(Search!$N$8,J583)))),1,0))</f>
        <v>0</v>
      </c>
      <c r="L583" s="1" t="n">
        <f aca="false">L582+K583</f>
        <v>0</v>
      </c>
    </row>
    <row r="584" customFormat="false" ht="15" hidden="false" customHeight="true" outlineLevel="0" collapsed="false">
      <c r="A584" s="1" t="s">
        <v>273</v>
      </c>
      <c r="B584" s="1" t="s">
        <v>1221</v>
      </c>
      <c r="C584" s="1" t="n">
        <v>128</v>
      </c>
      <c r="E584" s="1" t="s">
        <v>1720</v>
      </c>
      <c r="F584" s="1" t="s">
        <v>1721</v>
      </c>
      <c r="G584" s="1" t="s">
        <v>1722</v>
      </c>
      <c r="J584" s="1" t="s">
        <v>1723</v>
      </c>
      <c r="K584" s="1" t="n">
        <f aca="false">IF(Search!$D$5="",0,IF(AND(OR(Search!$N$5="",ISNUMBER(SEARCH(Search!$N$5,J584))),OR(Search!$N$6="",ISNUMBER(SEARCH(Search!$N$6,J584))),OR(Search!$N$7="",ISNUMBER(SEARCH(Search!$N$7,J584))),OR(Search!$N$8="",ISNUMBER(SEARCH(Search!$N$8,J584)))),1,0))</f>
        <v>0</v>
      </c>
      <c r="L584" s="1" t="n">
        <f aca="false">L583+K584</f>
        <v>0</v>
      </c>
    </row>
    <row r="585" customFormat="false" ht="15" hidden="false" customHeight="true" outlineLevel="0" collapsed="false">
      <c r="A585" s="1" t="s">
        <v>273</v>
      </c>
      <c r="B585" s="1" t="s">
        <v>1221</v>
      </c>
      <c r="C585" s="1" t="n">
        <v>129</v>
      </c>
      <c r="E585" s="1" t="s">
        <v>1724</v>
      </c>
      <c r="F585" s="1" t="s">
        <v>1725</v>
      </c>
      <c r="G585" s="1" t="s">
        <v>1726</v>
      </c>
      <c r="J585" s="1" t="s">
        <v>1727</v>
      </c>
      <c r="K585" s="1" t="n">
        <f aca="false">IF(Search!$D$5="",0,IF(AND(OR(Search!$N$5="",ISNUMBER(SEARCH(Search!$N$5,J585))),OR(Search!$N$6="",ISNUMBER(SEARCH(Search!$N$6,J585))),OR(Search!$N$7="",ISNUMBER(SEARCH(Search!$N$7,J585))),OR(Search!$N$8="",ISNUMBER(SEARCH(Search!$N$8,J585)))),1,0))</f>
        <v>0</v>
      </c>
      <c r="L585" s="1" t="n">
        <f aca="false">L584+K585</f>
        <v>0</v>
      </c>
    </row>
    <row r="586" customFormat="false" ht="15" hidden="false" customHeight="true" outlineLevel="0" collapsed="false">
      <c r="A586" s="1" t="s">
        <v>273</v>
      </c>
      <c r="B586" s="1" t="s">
        <v>1221</v>
      </c>
      <c r="C586" s="1" t="n">
        <v>130</v>
      </c>
      <c r="E586" s="1" t="s">
        <v>1728</v>
      </c>
      <c r="F586" s="1" t="s">
        <v>1729</v>
      </c>
      <c r="G586" s="1" t="s">
        <v>1730</v>
      </c>
      <c r="J586" s="1" t="s">
        <v>1731</v>
      </c>
      <c r="K586" s="1" t="n">
        <f aca="false">IF(Search!$D$5="",0,IF(AND(OR(Search!$N$5="",ISNUMBER(SEARCH(Search!$N$5,J586))),OR(Search!$N$6="",ISNUMBER(SEARCH(Search!$N$6,J586))),OR(Search!$N$7="",ISNUMBER(SEARCH(Search!$N$7,J586))),OR(Search!$N$8="",ISNUMBER(SEARCH(Search!$N$8,J586)))),1,0))</f>
        <v>0</v>
      </c>
      <c r="L586" s="1" t="n">
        <f aca="false">L585+K586</f>
        <v>0</v>
      </c>
    </row>
    <row r="587" customFormat="false" ht="15" hidden="false" customHeight="true" outlineLevel="0" collapsed="false">
      <c r="A587" s="1" t="s">
        <v>273</v>
      </c>
      <c r="B587" s="1" t="s">
        <v>1221</v>
      </c>
      <c r="C587" s="1" t="n">
        <v>131</v>
      </c>
      <c r="E587" s="1" t="s">
        <v>1732</v>
      </c>
      <c r="F587" s="1" t="s">
        <v>1733</v>
      </c>
      <c r="G587" s="1" t="s">
        <v>1734</v>
      </c>
      <c r="J587" s="1" t="s">
        <v>1735</v>
      </c>
      <c r="K587" s="1" t="n">
        <f aca="false">IF(Search!$D$5="",0,IF(AND(OR(Search!$N$5="",ISNUMBER(SEARCH(Search!$N$5,J587))),OR(Search!$N$6="",ISNUMBER(SEARCH(Search!$N$6,J587))),OR(Search!$N$7="",ISNUMBER(SEARCH(Search!$N$7,J587))),OR(Search!$N$8="",ISNUMBER(SEARCH(Search!$N$8,J587)))),1,0))</f>
        <v>0</v>
      </c>
      <c r="L587" s="1" t="n">
        <f aca="false">L586+K587</f>
        <v>0</v>
      </c>
    </row>
    <row r="588" customFormat="false" ht="15" hidden="false" customHeight="true" outlineLevel="0" collapsed="false">
      <c r="A588" s="1" t="s">
        <v>273</v>
      </c>
      <c r="B588" s="1" t="s">
        <v>1221</v>
      </c>
      <c r="C588" s="1" t="n">
        <v>132</v>
      </c>
      <c r="E588" s="1" t="s">
        <v>1736</v>
      </c>
      <c r="F588" s="1" t="s">
        <v>1737</v>
      </c>
      <c r="G588" s="1" t="s">
        <v>1738</v>
      </c>
      <c r="J588" s="1" t="s">
        <v>1739</v>
      </c>
      <c r="K588" s="1" t="n">
        <f aca="false">IF(Search!$D$5="",0,IF(AND(OR(Search!$N$5="",ISNUMBER(SEARCH(Search!$N$5,J588))),OR(Search!$N$6="",ISNUMBER(SEARCH(Search!$N$6,J588))),OR(Search!$N$7="",ISNUMBER(SEARCH(Search!$N$7,J588))),OR(Search!$N$8="",ISNUMBER(SEARCH(Search!$N$8,J588)))),1,0))</f>
        <v>0</v>
      </c>
      <c r="L588" s="1" t="n">
        <f aca="false">L587+K588</f>
        <v>0</v>
      </c>
    </row>
    <row r="589" customFormat="false" ht="15" hidden="false" customHeight="true" outlineLevel="0" collapsed="false">
      <c r="A589" s="1" t="s">
        <v>273</v>
      </c>
      <c r="B589" s="1" t="s">
        <v>1221</v>
      </c>
      <c r="C589" s="1" t="n">
        <v>133</v>
      </c>
      <c r="E589" s="1" t="s">
        <v>1740</v>
      </c>
      <c r="F589" s="1" t="s">
        <v>1741</v>
      </c>
      <c r="G589" s="1" t="s">
        <v>1742</v>
      </c>
      <c r="J589" s="1" t="s">
        <v>1743</v>
      </c>
      <c r="K589" s="1" t="n">
        <f aca="false">IF(Search!$D$5="",0,IF(AND(OR(Search!$N$5="",ISNUMBER(SEARCH(Search!$N$5,J589))),OR(Search!$N$6="",ISNUMBER(SEARCH(Search!$N$6,J589))),OR(Search!$N$7="",ISNUMBER(SEARCH(Search!$N$7,J589))),OR(Search!$N$8="",ISNUMBER(SEARCH(Search!$N$8,J589)))),1,0))</f>
        <v>0</v>
      </c>
      <c r="L589" s="1" t="n">
        <f aca="false">L588+K589</f>
        <v>0</v>
      </c>
    </row>
    <row r="590" customFormat="false" ht="15" hidden="false" customHeight="true" outlineLevel="0" collapsed="false">
      <c r="A590" s="1" t="s">
        <v>273</v>
      </c>
      <c r="B590" s="1" t="s">
        <v>1221</v>
      </c>
      <c r="C590" s="1" t="n">
        <v>134</v>
      </c>
      <c r="E590" s="1" t="s">
        <v>1744</v>
      </c>
      <c r="F590" s="1" t="s">
        <v>1745</v>
      </c>
      <c r="G590" s="1" t="s">
        <v>1746</v>
      </c>
      <c r="J590" s="1" t="s">
        <v>1747</v>
      </c>
      <c r="K590" s="1" t="n">
        <f aca="false">IF(Search!$D$5="",0,IF(AND(OR(Search!$N$5="",ISNUMBER(SEARCH(Search!$N$5,J590))),OR(Search!$N$6="",ISNUMBER(SEARCH(Search!$N$6,J590))),OR(Search!$N$7="",ISNUMBER(SEARCH(Search!$N$7,J590))),OR(Search!$N$8="",ISNUMBER(SEARCH(Search!$N$8,J590)))),1,0))</f>
        <v>0</v>
      </c>
      <c r="L590" s="1" t="n">
        <f aca="false">L589+K590</f>
        <v>0</v>
      </c>
    </row>
    <row r="591" customFormat="false" ht="15" hidden="false" customHeight="true" outlineLevel="0" collapsed="false">
      <c r="A591" s="1" t="s">
        <v>273</v>
      </c>
      <c r="B591" s="1" t="s">
        <v>1221</v>
      </c>
      <c r="C591" s="1" t="n">
        <v>135</v>
      </c>
      <c r="E591" s="1" t="s">
        <v>1748</v>
      </c>
      <c r="F591" s="1" t="s">
        <v>1749</v>
      </c>
      <c r="G591" s="1" t="s">
        <v>1750</v>
      </c>
      <c r="J591" s="1" t="s">
        <v>1751</v>
      </c>
      <c r="K591" s="1" t="n">
        <f aca="false">IF(Search!$D$5="",0,IF(AND(OR(Search!$N$5="",ISNUMBER(SEARCH(Search!$N$5,J591))),OR(Search!$N$6="",ISNUMBER(SEARCH(Search!$N$6,J591))),OR(Search!$N$7="",ISNUMBER(SEARCH(Search!$N$7,J591))),OR(Search!$N$8="",ISNUMBER(SEARCH(Search!$N$8,J591)))),1,0))</f>
        <v>0</v>
      </c>
      <c r="L591" s="1" t="n">
        <f aca="false">L590+K591</f>
        <v>0</v>
      </c>
    </row>
    <row r="592" customFormat="false" ht="15" hidden="false" customHeight="true" outlineLevel="0" collapsed="false">
      <c r="A592" s="1" t="s">
        <v>273</v>
      </c>
      <c r="B592" s="1" t="s">
        <v>1221</v>
      </c>
      <c r="C592" s="1" t="n">
        <v>136</v>
      </c>
      <c r="E592" s="1" t="s">
        <v>1752</v>
      </c>
      <c r="F592" s="1" t="s">
        <v>1753</v>
      </c>
      <c r="G592" s="1" t="s">
        <v>1754</v>
      </c>
      <c r="J592" s="1" t="s">
        <v>1755</v>
      </c>
      <c r="K592" s="1" t="n">
        <f aca="false">IF(Search!$D$5="",0,IF(AND(OR(Search!$N$5="",ISNUMBER(SEARCH(Search!$N$5,J592))),OR(Search!$N$6="",ISNUMBER(SEARCH(Search!$N$6,J592))),OR(Search!$N$7="",ISNUMBER(SEARCH(Search!$N$7,J592))),OR(Search!$N$8="",ISNUMBER(SEARCH(Search!$N$8,J592)))),1,0))</f>
        <v>0</v>
      </c>
      <c r="L592" s="1" t="n">
        <f aca="false">L591+K592</f>
        <v>0</v>
      </c>
    </row>
    <row r="593" customFormat="false" ht="15" hidden="false" customHeight="true" outlineLevel="0" collapsed="false">
      <c r="A593" s="1" t="s">
        <v>273</v>
      </c>
      <c r="B593" s="1" t="s">
        <v>1221</v>
      </c>
      <c r="C593" s="1" t="n">
        <v>137</v>
      </c>
      <c r="E593" s="1" t="s">
        <v>1756</v>
      </c>
      <c r="F593" s="1" t="s">
        <v>1757</v>
      </c>
      <c r="G593" s="1" t="s">
        <v>1758</v>
      </c>
      <c r="J593" s="1" t="s">
        <v>1759</v>
      </c>
      <c r="K593" s="1" t="n">
        <f aca="false">IF(Search!$D$5="",0,IF(AND(OR(Search!$N$5="",ISNUMBER(SEARCH(Search!$N$5,J593))),OR(Search!$N$6="",ISNUMBER(SEARCH(Search!$N$6,J593))),OR(Search!$N$7="",ISNUMBER(SEARCH(Search!$N$7,J593))),OR(Search!$N$8="",ISNUMBER(SEARCH(Search!$N$8,J593)))),1,0))</f>
        <v>0</v>
      </c>
      <c r="L593" s="1" t="n">
        <f aca="false">L592+K593</f>
        <v>0</v>
      </c>
    </row>
    <row r="594" customFormat="false" ht="15" hidden="false" customHeight="true" outlineLevel="0" collapsed="false">
      <c r="A594" s="1" t="s">
        <v>273</v>
      </c>
      <c r="B594" s="1" t="s">
        <v>1221</v>
      </c>
      <c r="C594" s="1" t="n">
        <v>138</v>
      </c>
      <c r="E594" s="1" t="s">
        <v>1760</v>
      </c>
      <c r="F594" s="1" t="s">
        <v>1761</v>
      </c>
      <c r="G594" s="1" t="s">
        <v>1762</v>
      </c>
      <c r="J594" s="1" t="s">
        <v>1763</v>
      </c>
      <c r="K594" s="1" t="n">
        <f aca="false">IF(Search!$D$5="",0,IF(AND(OR(Search!$N$5="",ISNUMBER(SEARCH(Search!$N$5,J594))),OR(Search!$N$6="",ISNUMBER(SEARCH(Search!$N$6,J594))),OR(Search!$N$7="",ISNUMBER(SEARCH(Search!$N$7,J594))),OR(Search!$N$8="",ISNUMBER(SEARCH(Search!$N$8,J594)))),1,0))</f>
        <v>0</v>
      </c>
      <c r="L594" s="1" t="n">
        <f aca="false">L593+K594</f>
        <v>0</v>
      </c>
    </row>
    <row r="595" customFormat="false" ht="15" hidden="false" customHeight="true" outlineLevel="0" collapsed="false">
      <c r="A595" s="1" t="s">
        <v>273</v>
      </c>
      <c r="B595" s="1" t="s">
        <v>1221</v>
      </c>
      <c r="C595" s="1" t="n">
        <v>139</v>
      </c>
      <c r="E595" s="1" t="s">
        <v>1764</v>
      </c>
      <c r="F595" s="1" t="s">
        <v>1765</v>
      </c>
      <c r="G595" s="1" t="s">
        <v>1766</v>
      </c>
      <c r="J595" s="1" t="s">
        <v>1767</v>
      </c>
      <c r="K595" s="1" t="n">
        <f aca="false">IF(Search!$D$5="",0,IF(AND(OR(Search!$N$5="",ISNUMBER(SEARCH(Search!$N$5,J595))),OR(Search!$N$6="",ISNUMBER(SEARCH(Search!$N$6,J595))),OR(Search!$N$7="",ISNUMBER(SEARCH(Search!$N$7,J595))),OR(Search!$N$8="",ISNUMBER(SEARCH(Search!$N$8,J595)))),1,0))</f>
        <v>0</v>
      </c>
      <c r="L595" s="1" t="n">
        <f aca="false">L594+K595</f>
        <v>0</v>
      </c>
    </row>
    <row r="596" customFormat="false" ht="15" hidden="false" customHeight="true" outlineLevel="0" collapsed="false">
      <c r="A596" s="1" t="s">
        <v>273</v>
      </c>
      <c r="B596" s="1" t="s">
        <v>1221</v>
      </c>
      <c r="C596" s="1" t="n">
        <v>140</v>
      </c>
      <c r="E596" s="1" t="s">
        <v>1768</v>
      </c>
      <c r="F596" s="1" t="s">
        <v>1769</v>
      </c>
      <c r="G596" s="1" t="s">
        <v>1770</v>
      </c>
      <c r="J596" s="1" t="s">
        <v>1771</v>
      </c>
      <c r="K596" s="1" t="n">
        <f aca="false">IF(Search!$D$5="",0,IF(AND(OR(Search!$N$5="",ISNUMBER(SEARCH(Search!$N$5,J596))),OR(Search!$N$6="",ISNUMBER(SEARCH(Search!$N$6,J596))),OR(Search!$N$7="",ISNUMBER(SEARCH(Search!$N$7,J596))),OR(Search!$N$8="",ISNUMBER(SEARCH(Search!$N$8,J596)))),1,0))</f>
        <v>0</v>
      </c>
      <c r="L596" s="1" t="n">
        <f aca="false">L595+K596</f>
        <v>0</v>
      </c>
    </row>
    <row r="597" customFormat="false" ht="15" hidden="false" customHeight="true" outlineLevel="0" collapsed="false">
      <c r="A597" s="1" t="s">
        <v>273</v>
      </c>
      <c r="B597" s="1" t="s">
        <v>1221</v>
      </c>
      <c r="C597" s="1" t="n">
        <v>141</v>
      </c>
      <c r="E597" s="1" t="s">
        <v>1772</v>
      </c>
      <c r="F597" s="1" t="s">
        <v>1773</v>
      </c>
      <c r="G597" s="1" t="s">
        <v>1774</v>
      </c>
      <c r="J597" s="1" t="s">
        <v>1775</v>
      </c>
      <c r="K597" s="1" t="n">
        <f aca="false">IF(Search!$D$5="",0,IF(AND(OR(Search!$N$5="",ISNUMBER(SEARCH(Search!$N$5,J597))),OR(Search!$N$6="",ISNUMBER(SEARCH(Search!$N$6,J597))),OR(Search!$N$7="",ISNUMBER(SEARCH(Search!$N$7,J597))),OR(Search!$N$8="",ISNUMBER(SEARCH(Search!$N$8,J597)))),1,0))</f>
        <v>0</v>
      </c>
      <c r="L597" s="1" t="n">
        <f aca="false">L596+K597</f>
        <v>0</v>
      </c>
    </row>
    <row r="598" customFormat="false" ht="15" hidden="false" customHeight="true" outlineLevel="0" collapsed="false">
      <c r="A598" s="1" t="s">
        <v>273</v>
      </c>
      <c r="B598" s="1" t="s">
        <v>1221</v>
      </c>
      <c r="C598" s="1" t="n">
        <v>142</v>
      </c>
      <c r="E598" s="1" t="s">
        <v>1776</v>
      </c>
      <c r="F598" s="1" t="s">
        <v>1611</v>
      </c>
      <c r="G598" s="1" t="s">
        <v>1612</v>
      </c>
      <c r="J598" s="1" t="s">
        <v>1777</v>
      </c>
      <c r="K598" s="1" t="n">
        <f aca="false">IF(Search!$D$5="",0,IF(AND(OR(Search!$N$5="",ISNUMBER(SEARCH(Search!$N$5,J598))),OR(Search!$N$6="",ISNUMBER(SEARCH(Search!$N$6,J598))),OR(Search!$N$7="",ISNUMBER(SEARCH(Search!$N$7,J598))),OR(Search!$N$8="",ISNUMBER(SEARCH(Search!$N$8,J598)))),1,0))</f>
        <v>0</v>
      </c>
      <c r="L598" s="1" t="n">
        <f aca="false">L597+K598</f>
        <v>0</v>
      </c>
    </row>
    <row r="599" customFormat="false" ht="15" hidden="false" customHeight="true" outlineLevel="0" collapsed="false">
      <c r="A599" s="1" t="s">
        <v>273</v>
      </c>
      <c r="B599" s="1" t="s">
        <v>1221</v>
      </c>
      <c r="C599" s="1" t="n">
        <v>143</v>
      </c>
      <c r="E599" s="1" t="s">
        <v>1778</v>
      </c>
      <c r="F599" s="1" t="s">
        <v>1779</v>
      </c>
      <c r="G599" s="1" t="s">
        <v>1780</v>
      </c>
      <c r="J599" s="1" t="s">
        <v>1781</v>
      </c>
      <c r="K599" s="1" t="n">
        <f aca="false">IF(Search!$D$5="",0,IF(AND(OR(Search!$N$5="",ISNUMBER(SEARCH(Search!$N$5,J599))),OR(Search!$N$6="",ISNUMBER(SEARCH(Search!$N$6,J599))),OR(Search!$N$7="",ISNUMBER(SEARCH(Search!$N$7,J599))),OR(Search!$N$8="",ISNUMBER(SEARCH(Search!$N$8,J599)))),1,0))</f>
        <v>0</v>
      </c>
      <c r="L599" s="1" t="n">
        <f aca="false">L598+K599</f>
        <v>0</v>
      </c>
    </row>
    <row r="600" customFormat="false" ht="15" hidden="false" customHeight="true" outlineLevel="0" collapsed="false">
      <c r="A600" s="1" t="s">
        <v>273</v>
      </c>
      <c r="B600" s="1" t="s">
        <v>1221</v>
      </c>
      <c r="C600" s="1" t="n">
        <v>144</v>
      </c>
      <c r="E600" s="1" t="s">
        <v>1782</v>
      </c>
      <c r="F600" s="1" t="s">
        <v>1783</v>
      </c>
      <c r="G600" s="1" t="s">
        <v>1784</v>
      </c>
      <c r="J600" s="1" t="s">
        <v>1785</v>
      </c>
      <c r="K600" s="1" t="n">
        <f aca="false">IF(Search!$D$5="",0,IF(AND(OR(Search!$N$5="",ISNUMBER(SEARCH(Search!$N$5,J600))),OR(Search!$N$6="",ISNUMBER(SEARCH(Search!$N$6,J600))),OR(Search!$N$7="",ISNUMBER(SEARCH(Search!$N$7,J600))),OR(Search!$N$8="",ISNUMBER(SEARCH(Search!$N$8,J600)))),1,0))</f>
        <v>0</v>
      </c>
      <c r="L600" s="1" t="n">
        <f aca="false">L599+K600</f>
        <v>0</v>
      </c>
    </row>
    <row r="601" customFormat="false" ht="15" hidden="false" customHeight="true" outlineLevel="0" collapsed="false">
      <c r="A601" s="1" t="s">
        <v>273</v>
      </c>
      <c r="B601" s="1" t="s">
        <v>1221</v>
      </c>
      <c r="C601" s="1" t="n">
        <v>145</v>
      </c>
      <c r="E601" s="1" t="s">
        <v>1786</v>
      </c>
      <c r="F601" s="1" t="s">
        <v>1787</v>
      </c>
      <c r="G601" s="1" t="s">
        <v>1788</v>
      </c>
      <c r="J601" s="1" t="s">
        <v>1789</v>
      </c>
      <c r="K601" s="1" t="n">
        <f aca="false">IF(Search!$D$5="",0,IF(AND(OR(Search!$N$5="",ISNUMBER(SEARCH(Search!$N$5,J601))),OR(Search!$N$6="",ISNUMBER(SEARCH(Search!$N$6,J601))),OR(Search!$N$7="",ISNUMBER(SEARCH(Search!$N$7,J601))),OR(Search!$N$8="",ISNUMBER(SEARCH(Search!$N$8,J601)))),1,0))</f>
        <v>0</v>
      </c>
      <c r="L601" s="1" t="n">
        <f aca="false">L600+K601</f>
        <v>0</v>
      </c>
    </row>
    <row r="602" customFormat="false" ht="15" hidden="false" customHeight="true" outlineLevel="0" collapsed="false">
      <c r="A602" s="1" t="s">
        <v>273</v>
      </c>
      <c r="B602" s="1" t="s">
        <v>1221</v>
      </c>
      <c r="C602" s="1" t="n">
        <v>146</v>
      </c>
      <c r="E602" s="1" t="s">
        <v>1790</v>
      </c>
      <c r="F602" s="1" t="s">
        <v>1791</v>
      </c>
      <c r="G602" s="1" t="s">
        <v>1792</v>
      </c>
      <c r="J602" s="1" t="s">
        <v>1793</v>
      </c>
      <c r="K602" s="1" t="n">
        <f aca="false">IF(Search!$D$5="",0,IF(AND(OR(Search!$N$5="",ISNUMBER(SEARCH(Search!$N$5,J602))),OR(Search!$N$6="",ISNUMBER(SEARCH(Search!$N$6,J602))),OR(Search!$N$7="",ISNUMBER(SEARCH(Search!$N$7,J602))),OR(Search!$N$8="",ISNUMBER(SEARCH(Search!$N$8,J602)))),1,0))</f>
        <v>0</v>
      </c>
      <c r="L602" s="1" t="n">
        <f aca="false">L601+K602</f>
        <v>0</v>
      </c>
    </row>
    <row r="603" customFormat="false" ht="15" hidden="false" customHeight="true" outlineLevel="0" collapsed="false">
      <c r="A603" s="1" t="s">
        <v>273</v>
      </c>
      <c r="B603" s="1" t="s">
        <v>1221</v>
      </c>
      <c r="C603" s="1" t="n">
        <v>147</v>
      </c>
      <c r="E603" s="1" t="s">
        <v>1794</v>
      </c>
      <c r="F603" s="1" t="s">
        <v>1795</v>
      </c>
      <c r="G603" s="1" t="s">
        <v>1796</v>
      </c>
      <c r="J603" s="1" t="s">
        <v>1797</v>
      </c>
      <c r="K603" s="1" t="n">
        <f aca="false">IF(Search!$D$5="",0,IF(AND(OR(Search!$N$5="",ISNUMBER(SEARCH(Search!$N$5,J603))),OR(Search!$N$6="",ISNUMBER(SEARCH(Search!$N$6,J603))),OR(Search!$N$7="",ISNUMBER(SEARCH(Search!$N$7,J603))),OR(Search!$N$8="",ISNUMBER(SEARCH(Search!$N$8,J603)))),1,0))</f>
        <v>0</v>
      </c>
      <c r="L603" s="1" t="n">
        <f aca="false">L602+K603</f>
        <v>0</v>
      </c>
    </row>
    <row r="604" customFormat="false" ht="15" hidden="false" customHeight="true" outlineLevel="0" collapsed="false">
      <c r="A604" s="1" t="s">
        <v>273</v>
      </c>
      <c r="B604" s="1" t="s">
        <v>1221</v>
      </c>
      <c r="C604" s="1" t="n">
        <v>148</v>
      </c>
      <c r="E604" s="1" t="s">
        <v>1798</v>
      </c>
      <c r="F604" s="1" t="s">
        <v>1799</v>
      </c>
      <c r="G604" s="1" t="s">
        <v>1800</v>
      </c>
      <c r="J604" s="1" t="s">
        <v>1801</v>
      </c>
      <c r="K604" s="1" t="n">
        <f aca="false">IF(Search!$D$5="",0,IF(AND(OR(Search!$N$5="",ISNUMBER(SEARCH(Search!$N$5,J604))),OR(Search!$N$6="",ISNUMBER(SEARCH(Search!$N$6,J604))),OR(Search!$N$7="",ISNUMBER(SEARCH(Search!$N$7,J604))),OR(Search!$N$8="",ISNUMBER(SEARCH(Search!$N$8,J604)))),1,0))</f>
        <v>0</v>
      </c>
      <c r="L604" s="1" t="n">
        <f aca="false">L603+K604</f>
        <v>0</v>
      </c>
    </row>
    <row r="605" customFormat="false" ht="15" hidden="false" customHeight="true" outlineLevel="0" collapsed="false">
      <c r="A605" s="1" t="s">
        <v>273</v>
      </c>
      <c r="B605" s="1" t="s">
        <v>1221</v>
      </c>
      <c r="C605" s="1" t="n">
        <v>151</v>
      </c>
      <c r="E605" s="1" t="s">
        <v>1802</v>
      </c>
      <c r="J605" s="1" t="s">
        <v>1802</v>
      </c>
      <c r="K605" s="1" t="n">
        <f aca="false">IF(Search!$D$5="",0,IF(AND(OR(Search!$N$5="",ISNUMBER(SEARCH(Search!$N$5,J605))),OR(Search!$N$6="",ISNUMBER(SEARCH(Search!$N$6,J605))),OR(Search!$N$7="",ISNUMBER(SEARCH(Search!$N$7,J605))),OR(Search!$N$8="",ISNUMBER(SEARCH(Search!$N$8,J605)))),1,0))</f>
        <v>0</v>
      </c>
      <c r="L605" s="1" t="n">
        <f aca="false">L604+K605</f>
        <v>0</v>
      </c>
    </row>
    <row r="606" customFormat="false" ht="15" hidden="false" customHeight="true" outlineLevel="0" collapsed="false">
      <c r="A606" s="1" t="s">
        <v>273</v>
      </c>
      <c r="B606" s="1" t="s">
        <v>1221</v>
      </c>
      <c r="C606" s="1" t="n">
        <v>152</v>
      </c>
      <c r="E606" s="1" t="s">
        <v>1279</v>
      </c>
      <c r="J606" s="1" t="s">
        <v>1279</v>
      </c>
      <c r="K606" s="1" t="n">
        <f aca="false">IF(Search!$D$5="",0,IF(AND(OR(Search!$N$5="",ISNUMBER(SEARCH(Search!$N$5,J606))),OR(Search!$N$6="",ISNUMBER(SEARCH(Search!$N$6,J606))),OR(Search!$N$7="",ISNUMBER(SEARCH(Search!$N$7,J606))),OR(Search!$N$8="",ISNUMBER(SEARCH(Search!$N$8,J606)))),1,0))</f>
        <v>0</v>
      </c>
      <c r="L606" s="1" t="n">
        <f aca="false">L605+K606</f>
        <v>0</v>
      </c>
    </row>
    <row r="607" customFormat="false" ht="16.5" hidden="false" customHeight="true" outlineLevel="0" collapsed="false">
      <c r="A607" s="1" t="s">
        <v>276</v>
      </c>
      <c r="B607" s="1" t="s">
        <v>1221</v>
      </c>
      <c r="C607" s="1" t="n">
        <v>2</v>
      </c>
      <c r="E607" s="1" t="s">
        <v>1803</v>
      </c>
      <c r="J607" s="1" t="s">
        <v>1803</v>
      </c>
      <c r="K607" s="1" t="n">
        <f aca="false">IF(Search!$D$5="",0,IF(AND(OR(Search!$N$5="",ISNUMBER(SEARCH(Search!$N$5,J607))),OR(Search!$N$6="",ISNUMBER(SEARCH(Search!$N$6,J607))),OR(Search!$N$7="",ISNUMBER(SEARCH(Search!$N$7,J607))),OR(Search!$N$8="",ISNUMBER(SEARCH(Search!$N$8,J607)))),1,0))</f>
        <v>0</v>
      </c>
      <c r="L607" s="1" t="n">
        <f aca="false">L606+K607</f>
        <v>0</v>
      </c>
    </row>
    <row r="608" customFormat="false" ht="15" hidden="false" customHeight="true" outlineLevel="0" collapsed="false">
      <c r="A608" s="1" t="s">
        <v>276</v>
      </c>
      <c r="B608" s="1" t="s">
        <v>1221</v>
      </c>
      <c r="C608" s="1" t="n">
        <v>3</v>
      </c>
      <c r="E608" s="1" t="s">
        <v>1804</v>
      </c>
      <c r="J608" s="1" t="s">
        <v>1804</v>
      </c>
      <c r="K608" s="1" t="n">
        <f aca="false">IF(Search!$D$5="",0,IF(AND(OR(Search!$N$5="",ISNUMBER(SEARCH(Search!$N$5,J608))),OR(Search!$N$6="",ISNUMBER(SEARCH(Search!$N$6,J608))),OR(Search!$N$7="",ISNUMBER(SEARCH(Search!$N$7,J608))),OR(Search!$N$8="",ISNUMBER(SEARCH(Search!$N$8,J608)))),1,0))</f>
        <v>0</v>
      </c>
      <c r="L608" s="1" t="n">
        <f aca="false">L607+K608</f>
        <v>0</v>
      </c>
    </row>
    <row r="609" customFormat="false" ht="15" hidden="false" customHeight="true" outlineLevel="0" collapsed="false">
      <c r="A609" s="1" t="s">
        <v>276</v>
      </c>
      <c r="B609" s="1" t="s">
        <v>1221</v>
      </c>
      <c r="C609" s="1" t="n">
        <v>5</v>
      </c>
      <c r="E609" s="1" t="s">
        <v>1805</v>
      </c>
      <c r="J609" s="1" t="s">
        <v>1805</v>
      </c>
      <c r="K609" s="1" t="n">
        <f aca="false">IF(Search!$D$5="",0,IF(AND(OR(Search!$N$5="",ISNUMBER(SEARCH(Search!$N$5,J609))),OR(Search!$N$6="",ISNUMBER(SEARCH(Search!$N$6,J609))),OR(Search!$N$7="",ISNUMBER(SEARCH(Search!$N$7,J609))),OR(Search!$N$8="",ISNUMBER(SEARCH(Search!$N$8,J609)))),1,0))</f>
        <v>0</v>
      </c>
      <c r="L609" s="1" t="n">
        <f aca="false">L608+K609</f>
        <v>0</v>
      </c>
    </row>
    <row r="610" customFormat="false" ht="68.25" hidden="false" customHeight="true" outlineLevel="0" collapsed="false">
      <c r="A610" s="1" t="s">
        <v>276</v>
      </c>
      <c r="B610" s="1" t="s">
        <v>1221</v>
      </c>
      <c r="C610" s="1" t="n">
        <v>6</v>
      </c>
      <c r="E610" s="46" t="s">
        <v>1806</v>
      </c>
      <c r="F610" s="46" t="s">
        <v>1807</v>
      </c>
      <c r="G610" s="46" t="s">
        <v>1808</v>
      </c>
      <c r="H610" s="46" t="s">
        <v>1809</v>
      </c>
      <c r="J610" s="46" t="s">
        <v>1810</v>
      </c>
      <c r="K610" s="1" t="n">
        <f aca="false">IF(Search!$D$5="",0,IF(AND(OR(Search!$N$5="",ISNUMBER(SEARCH(Search!$N$5,J610))),OR(Search!$N$6="",ISNUMBER(SEARCH(Search!$N$6,J610))),OR(Search!$N$7="",ISNUMBER(SEARCH(Search!$N$7,J610))),OR(Search!$N$8="",ISNUMBER(SEARCH(Search!$N$8,J610)))),1,0))</f>
        <v>0</v>
      </c>
      <c r="L610" s="1" t="n">
        <f aca="false">L609+K610</f>
        <v>0</v>
      </c>
    </row>
    <row r="611" customFormat="false" ht="15" hidden="false" customHeight="true" outlineLevel="0" collapsed="false">
      <c r="A611" s="1" t="s">
        <v>276</v>
      </c>
      <c r="B611" s="1" t="s">
        <v>1221</v>
      </c>
      <c r="C611" s="1" t="n">
        <v>7</v>
      </c>
      <c r="E611" s="1" t="s">
        <v>1811</v>
      </c>
      <c r="F611" s="1" t="s">
        <v>1812</v>
      </c>
      <c r="G611" s="1" t="s">
        <v>1813</v>
      </c>
      <c r="H611" s="1" t="s">
        <v>1814</v>
      </c>
      <c r="J611" s="1" t="s">
        <v>1815</v>
      </c>
      <c r="K611" s="1" t="n">
        <f aca="false">IF(Search!$D$5="",0,IF(AND(OR(Search!$N$5="",ISNUMBER(SEARCH(Search!$N$5,J611))),OR(Search!$N$6="",ISNUMBER(SEARCH(Search!$N$6,J611))),OR(Search!$N$7="",ISNUMBER(SEARCH(Search!$N$7,J611))),OR(Search!$N$8="",ISNUMBER(SEARCH(Search!$N$8,J611)))),1,0))</f>
        <v>0</v>
      </c>
      <c r="L611" s="1" t="n">
        <f aca="false">L610+K611</f>
        <v>0</v>
      </c>
    </row>
    <row r="612" customFormat="false" ht="15" hidden="false" customHeight="true" outlineLevel="0" collapsed="false">
      <c r="A612" s="1" t="s">
        <v>276</v>
      </c>
      <c r="B612" s="1" t="s">
        <v>1221</v>
      </c>
      <c r="C612" s="1" t="n">
        <v>8</v>
      </c>
      <c r="E612" s="1" t="s">
        <v>1811</v>
      </c>
      <c r="F612" s="1" t="s">
        <v>987</v>
      </c>
      <c r="G612" s="1" t="s">
        <v>1816</v>
      </c>
      <c r="H612" s="1" t="s">
        <v>1817</v>
      </c>
      <c r="J612" s="1" t="s">
        <v>1818</v>
      </c>
      <c r="K612" s="1" t="n">
        <f aca="false">IF(Search!$D$5="",0,IF(AND(OR(Search!$N$5="",ISNUMBER(SEARCH(Search!$N$5,J612))),OR(Search!$N$6="",ISNUMBER(SEARCH(Search!$N$6,J612))),OR(Search!$N$7="",ISNUMBER(SEARCH(Search!$N$7,J612))),OR(Search!$N$8="",ISNUMBER(SEARCH(Search!$N$8,J612)))),1,0))</f>
        <v>0</v>
      </c>
      <c r="L612" s="1" t="n">
        <f aca="false">L611+K612</f>
        <v>0</v>
      </c>
    </row>
    <row r="613" customFormat="false" ht="15" hidden="false" customHeight="true" outlineLevel="0" collapsed="false">
      <c r="A613" s="1" t="s">
        <v>276</v>
      </c>
      <c r="B613" s="1" t="s">
        <v>1221</v>
      </c>
      <c r="C613" s="1" t="n">
        <v>9</v>
      </c>
      <c r="E613" s="1" t="s">
        <v>1819</v>
      </c>
      <c r="F613" s="1" t="s">
        <v>1812</v>
      </c>
      <c r="G613" s="1" t="s">
        <v>1820</v>
      </c>
      <c r="H613" s="1" t="s">
        <v>1821</v>
      </c>
      <c r="J613" s="1" t="s">
        <v>1822</v>
      </c>
      <c r="K613" s="1" t="n">
        <f aca="false">IF(Search!$D$5="",0,IF(AND(OR(Search!$N$5="",ISNUMBER(SEARCH(Search!$N$5,J613))),OR(Search!$N$6="",ISNUMBER(SEARCH(Search!$N$6,J613))),OR(Search!$N$7="",ISNUMBER(SEARCH(Search!$N$7,J613))),OR(Search!$N$8="",ISNUMBER(SEARCH(Search!$N$8,J613)))),1,0))</f>
        <v>0</v>
      </c>
      <c r="L613" s="1" t="n">
        <f aca="false">L612+K613</f>
        <v>0</v>
      </c>
    </row>
    <row r="614" customFormat="false" ht="15" hidden="false" customHeight="true" outlineLevel="0" collapsed="false">
      <c r="A614" s="1" t="s">
        <v>276</v>
      </c>
      <c r="B614" s="1" t="s">
        <v>1221</v>
      </c>
      <c r="C614" s="1" t="n">
        <v>10</v>
      </c>
      <c r="E614" s="1" t="s">
        <v>1819</v>
      </c>
      <c r="F614" s="1" t="s">
        <v>1823</v>
      </c>
      <c r="G614" s="1" t="s">
        <v>1824</v>
      </c>
      <c r="H614" s="1" t="s">
        <v>1825</v>
      </c>
      <c r="J614" s="1" t="s">
        <v>1826</v>
      </c>
      <c r="K614" s="1" t="n">
        <f aca="false">IF(Search!$D$5="",0,IF(AND(OR(Search!$N$5="",ISNUMBER(SEARCH(Search!$N$5,J614))),OR(Search!$N$6="",ISNUMBER(SEARCH(Search!$N$6,J614))),OR(Search!$N$7="",ISNUMBER(SEARCH(Search!$N$7,J614))),OR(Search!$N$8="",ISNUMBER(SEARCH(Search!$N$8,J614)))),1,0))</f>
        <v>0</v>
      </c>
      <c r="L614" s="1" t="n">
        <f aca="false">L613+K614</f>
        <v>0</v>
      </c>
    </row>
    <row r="615" customFormat="false" ht="15" hidden="false" customHeight="true" outlineLevel="0" collapsed="false">
      <c r="A615" s="1" t="s">
        <v>276</v>
      </c>
      <c r="B615" s="1" t="s">
        <v>1221</v>
      </c>
      <c r="C615" s="1" t="n">
        <v>11</v>
      </c>
      <c r="E615" s="1" t="s">
        <v>1819</v>
      </c>
      <c r="F615" s="1" t="s">
        <v>987</v>
      </c>
      <c r="G615" s="1" t="s">
        <v>1827</v>
      </c>
      <c r="H615" s="1" t="s">
        <v>1828</v>
      </c>
      <c r="J615" s="1" t="s">
        <v>1829</v>
      </c>
      <c r="K615" s="1" t="n">
        <f aca="false">IF(Search!$D$5="",0,IF(AND(OR(Search!$N$5="",ISNUMBER(SEARCH(Search!$N$5,J615))),OR(Search!$N$6="",ISNUMBER(SEARCH(Search!$N$6,J615))),OR(Search!$N$7="",ISNUMBER(SEARCH(Search!$N$7,J615))),OR(Search!$N$8="",ISNUMBER(SEARCH(Search!$N$8,J615)))),1,0))</f>
        <v>0</v>
      </c>
      <c r="L615" s="1" t="n">
        <f aca="false">L614+K615</f>
        <v>0</v>
      </c>
    </row>
    <row r="616" customFormat="false" ht="15" hidden="false" customHeight="true" outlineLevel="0" collapsed="false">
      <c r="A616" s="1" t="s">
        <v>276</v>
      </c>
      <c r="B616" s="1" t="s">
        <v>1221</v>
      </c>
      <c r="C616" s="1" t="n">
        <v>12</v>
      </c>
      <c r="E616" s="1" t="s">
        <v>1819</v>
      </c>
      <c r="F616" s="1" t="s">
        <v>1830</v>
      </c>
      <c r="G616" s="1" t="s">
        <v>1831</v>
      </c>
      <c r="H616" s="1" t="s">
        <v>1832</v>
      </c>
      <c r="J616" s="1" t="s">
        <v>1833</v>
      </c>
      <c r="K616" s="1" t="n">
        <f aca="false">IF(Search!$D$5="",0,IF(AND(OR(Search!$N$5="",ISNUMBER(SEARCH(Search!$N$5,J616))),OR(Search!$N$6="",ISNUMBER(SEARCH(Search!$N$6,J616))),OR(Search!$N$7="",ISNUMBER(SEARCH(Search!$N$7,J616))),OR(Search!$N$8="",ISNUMBER(SEARCH(Search!$N$8,J616)))),1,0))</f>
        <v>0</v>
      </c>
      <c r="L616" s="1" t="n">
        <f aca="false">L615+K616</f>
        <v>0</v>
      </c>
    </row>
    <row r="617" customFormat="false" ht="15" hidden="false" customHeight="true" outlineLevel="0" collapsed="false">
      <c r="A617" s="1" t="s">
        <v>276</v>
      </c>
      <c r="B617" s="1" t="s">
        <v>1221</v>
      </c>
      <c r="C617" s="1" t="n">
        <v>13</v>
      </c>
      <c r="E617" s="1" t="s">
        <v>1819</v>
      </c>
      <c r="F617" s="1" t="s">
        <v>1834</v>
      </c>
      <c r="G617" s="1" t="s">
        <v>1835</v>
      </c>
      <c r="H617" s="1" t="s">
        <v>1836</v>
      </c>
      <c r="J617" s="1" t="s">
        <v>1837</v>
      </c>
      <c r="K617" s="1" t="n">
        <f aca="false">IF(Search!$D$5="",0,IF(AND(OR(Search!$N$5="",ISNUMBER(SEARCH(Search!$N$5,J617))),OR(Search!$N$6="",ISNUMBER(SEARCH(Search!$N$6,J617))),OR(Search!$N$7="",ISNUMBER(SEARCH(Search!$N$7,J617))),OR(Search!$N$8="",ISNUMBER(SEARCH(Search!$N$8,J617)))),1,0))</f>
        <v>0</v>
      </c>
      <c r="L617" s="1" t="n">
        <f aca="false">L616+K617</f>
        <v>0</v>
      </c>
    </row>
    <row r="618" customFormat="false" ht="15" hidden="false" customHeight="true" outlineLevel="0" collapsed="false">
      <c r="A618" s="1" t="s">
        <v>276</v>
      </c>
      <c r="B618" s="1" t="s">
        <v>1221</v>
      </c>
      <c r="C618" s="1" t="n">
        <v>14</v>
      </c>
      <c r="E618" s="1" t="s">
        <v>1819</v>
      </c>
      <c r="F618" s="1" t="s">
        <v>1838</v>
      </c>
      <c r="G618" s="1" t="s">
        <v>1839</v>
      </c>
      <c r="H618" s="1" t="s">
        <v>1840</v>
      </c>
      <c r="J618" s="1" t="s">
        <v>1841</v>
      </c>
      <c r="K618" s="1" t="n">
        <f aca="false">IF(Search!$D$5="",0,IF(AND(OR(Search!$N$5="",ISNUMBER(SEARCH(Search!$N$5,J618))),OR(Search!$N$6="",ISNUMBER(SEARCH(Search!$N$6,J618))),OR(Search!$N$7="",ISNUMBER(SEARCH(Search!$N$7,J618))),OR(Search!$N$8="",ISNUMBER(SEARCH(Search!$N$8,J618)))),1,0))</f>
        <v>0</v>
      </c>
      <c r="L618" s="1" t="n">
        <f aca="false">L617+K618</f>
        <v>0</v>
      </c>
    </row>
    <row r="619" customFormat="false" ht="15" hidden="false" customHeight="true" outlineLevel="0" collapsed="false">
      <c r="A619" s="1" t="s">
        <v>276</v>
      </c>
      <c r="B619" s="1" t="s">
        <v>1221</v>
      </c>
      <c r="C619" s="1" t="n">
        <v>15</v>
      </c>
      <c r="E619" s="1" t="s">
        <v>1842</v>
      </c>
      <c r="F619" s="1" t="s">
        <v>1812</v>
      </c>
      <c r="G619" s="1" t="s">
        <v>1843</v>
      </c>
      <c r="H619" s="1" t="s">
        <v>1844</v>
      </c>
      <c r="J619" s="1" t="s">
        <v>1845</v>
      </c>
      <c r="K619" s="1" t="n">
        <f aca="false">IF(Search!$D$5="",0,IF(AND(OR(Search!$N$5="",ISNUMBER(SEARCH(Search!$N$5,J619))),OR(Search!$N$6="",ISNUMBER(SEARCH(Search!$N$6,J619))),OR(Search!$N$7="",ISNUMBER(SEARCH(Search!$N$7,J619))),OR(Search!$N$8="",ISNUMBER(SEARCH(Search!$N$8,J619)))),1,0))</f>
        <v>0</v>
      </c>
      <c r="L619" s="1" t="n">
        <f aca="false">L618+K619</f>
        <v>0</v>
      </c>
    </row>
    <row r="620" customFormat="false" ht="15" hidden="false" customHeight="true" outlineLevel="0" collapsed="false">
      <c r="A620" s="1" t="s">
        <v>276</v>
      </c>
      <c r="B620" s="1" t="s">
        <v>1221</v>
      </c>
      <c r="C620" s="1" t="n">
        <v>16</v>
      </c>
      <c r="E620" s="1" t="s">
        <v>1842</v>
      </c>
      <c r="F620" s="1" t="s">
        <v>1823</v>
      </c>
      <c r="G620" s="1" t="s">
        <v>1846</v>
      </c>
      <c r="H620" s="1" t="s">
        <v>1847</v>
      </c>
      <c r="J620" s="1" t="s">
        <v>1848</v>
      </c>
      <c r="K620" s="1" t="n">
        <f aca="false">IF(Search!$D$5="",0,IF(AND(OR(Search!$N$5="",ISNUMBER(SEARCH(Search!$N$5,J620))),OR(Search!$N$6="",ISNUMBER(SEARCH(Search!$N$6,J620))),OR(Search!$N$7="",ISNUMBER(SEARCH(Search!$N$7,J620))),OR(Search!$N$8="",ISNUMBER(SEARCH(Search!$N$8,J620)))),1,0))</f>
        <v>0</v>
      </c>
      <c r="L620" s="1" t="n">
        <f aca="false">L619+K620</f>
        <v>0</v>
      </c>
    </row>
    <row r="621" customFormat="false" ht="15" hidden="false" customHeight="true" outlineLevel="0" collapsed="false">
      <c r="A621" s="1" t="s">
        <v>276</v>
      </c>
      <c r="B621" s="1" t="s">
        <v>1221</v>
      </c>
      <c r="C621" s="1" t="n">
        <v>17</v>
      </c>
      <c r="E621" s="1" t="s">
        <v>1842</v>
      </c>
      <c r="F621" s="1" t="s">
        <v>987</v>
      </c>
      <c r="G621" s="1" t="s">
        <v>1849</v>
      </c>
      <c r="H621" s="1" t="s">
        <v>1687</v>
      </c>
      <c r="J621" s="1" t="s">
        <v>1850</v>
      </c>
      <c r="K621" s="1" t="n">
        <f aca="false">IF(Search!$D$5="",0,IF(AND(OR(Search!$N$5="",ISNUMBER(SEARCH(Search!$N$5,J621))),OR(Search!$N$6="",ISNUMBER(SEARCH(Search!$N$6,J621))),OR(Search!$N$7="",ISNUMBER(SEARCH(Search!$N$7,J621))),OR(Search!$N$8="",ISNUMBER(SEARCH(Search!$N$8,J621)))),1,0))</f>
        <v>0</v>
      </c>
      <c r="L621" s="1" t="n">
        <f aca="false">L620+K621</f>
        <v>0</v>
      </c>
    </row>
    <row r="622" customFormat="false" ht="15" hidden="false" customHeight="true" outlineLevel="0" collapsed="false">
      <c r="A622" s="1" t="s">
        <v>276</v>
      </c>
      <c r="B622" s="1" t="s">
        <v>1221</v>
      </c>
      <c r="C622" s="1" t="n">
        <v>18</v>
      </c>
      <c r="E622" s="1" t="s">
        <v>1842</v>
      </c>
      <c r="F622" s="1" t="s">
        <v>1830</v>
      </c>
      <c r="G622" s="1" t="s">
        <v>1835</v>
      </c>
      <c r="H622" s="1" t="s">
        <v>1836</v>
      </c>
      <c r="J622" s="1" t="s">
        <v>1851</v>
      </c>
      <c r="K622" s="1" t="n">
        <f aca="false">IF(Search!$D$5="",0,IF(AND(OR(Search!$N$5="",ISNUMBER(SEARCH(Search!$N$5,J622))),OR(Search!$N$6="",ISNUMBER(SEARCH(Search!$N$6,J622))),OR(Search!$N$7="",ISNUMBER(SEARCH(Search!$N$7,J622))),OR(Search!$N$8="",ISNUMBER(SEARCH(Search!$N$8,J622)))),1,0))</f>
        <v>0</v>
      </c>
      <c r="L622" s="1" t="n">
        <f aca="false">L621+K622</f>
        <v>0</v>
      </c>
    </row>
    <row r="623" customFormat="false" ht="15" hidden="false" customHeight="true" outlineLevel="0" collapsed="false">
      <c r="A623" s="1" t="s">
        <v>276</v>
      </c>
      <c r="B623" s="1" t="s">
        <v>1221</v>
      </c>
      <c r="C623" s="1" t="n">
        <v>19</v>
      </c>
      <c r="E623" s="1" t="s">
        <v>1842</v>
      </c>
      <c r="F623" s="1" t="s">
        <v>1834</v>
      </c>
      <c r="G623" s="1" t="s">
        <v>1852</v>
      </c>
      <c r="H623" s="1" t="s">
        <v>1853</v>
      </c>
      <c r="J623" s="1" t="s">
        <v>1854</v>
      </c>
      <c r="K623" s="1" t="n">
        <f aca="false">IF(Search!$D$5="",0,IF(AND(OR(Search!$N$5="",ISNUMBER(SEARCH(Search!$N$5,J623))),OR(Search!$N$6="",ISNUMBER(SEARCH(Search!$N$6,J623))),OR(Search!$N$7="",ISNUMBER(SEARCH(Search!$N$7,J623))),OR(Search!$N$8="",ISNUMBER(SEARCH(Search!$N$8,J623)))),1,0))</f>
        <v>0</v>
      </c>
      <c r="L623" s="1" t="n">
        <f aca="false">L622+K623</f>
        <v>0</v>
      </c>
    </row>
    <row r="624" customFormat="false" ht="15" hidden="false" customHeight="true" outlineLevel="0" collapsed="false">
      <c r="A624" s="1" t="s">
        <v>276</v>
      </c>
      <c r="B624" s="1" t="s">
        <v>1221</v>
      </c>
      <c r="C624" s="1" t="n">
        <v>20</v>
      </c>
      <c r="E624" s="1" t="s">
        <v>1842</v>
      </c>
      <c r="F624" s="1" t="s">
        <v>1838</v>
      </c>
      <c r="G624" s="1" t="s">
        <v>1855</v>
      </c>
      <c r="H624" s="1" t="s">
        <v>1856</v>
      </c>
      <c r="J624" s="1" t="s">
        <v>1857</v>
      </c>
      <c r="K624" s="1" t="n">
        <f aca="false">IF(Search!$D$5="",0,IF(AND(OR(Search!$N$5="",ISNUMBER(SEARCH(Search!$N$5,J624))),OR(Search!$N$6="",ISNUMBER(SEARCH(Search!$N$6,J624))),OR(Search!$N$7="",ISNUMBER(SEARCH(Search!$N$7,J624))),OR(Search!$N$8="",ISNUMBER(SEARCH(Search!$N$8,J624)))),1,0))</f>
        <v>0</v>
      </c>
      <c r="L624" s="1" t="n">
        <f aca="false">L623+K624</f>
        <v>0</v>
      </c>
    </row>
    <row r="625" customFormat="false" ht="15" hidden="false" customHeight="true" outlineLevel="0" collapsed="false">
      <c r="A625" s="1" t="s">
        <v>276</v>
      </c>
      <c r="B625" s="1" t="s">
        <v>1221</v>
      </c>
      <c r="C625" s="1" t="n">
        <v>21</v>
      </c>
      <c r="E625" s="1" t="s">
        <v>1858</v>
      </c>
      <c r="F625" s="1" t="s">
        <v>1812</v>
      </c>
      <c r="G625" s="1" t="s">
        <v>1859</v>
      </c>
      <c r="H625" s="1" t="s">
        <v>1860</v>
      </c>
      <c r="J625" s="1" t="s">
        <v>1861</v>
      </c>
      <c r="K625" s="1" t="n">
        <f aca="false">IF(Search!$D$5="",0,IF(AND(OR(Search!$N$5="",ISNUMBER(SEARCH(Search!$N$5,J625))),OR(Search!$N$6="",ISNUMBER(SEARCH(Search!$N$6,J625))),OR(Search!$N$7="",ISNUMBER(SEARCH(Search!$N$7,J625))),OR(Search!$N$8="",ISNUMBER(SEARCH(Search!$N$8,J625)))),1,0))</f>
        <v>0</v>
      </c>
      <c r="L625" s="1" t="n">
        <f aca="false">L624+K625</f>
        <v>0</v>
      </c>
    </row>
    <row r="626" customFormat="false" ht="15" hidden="false" customHeight="true" outlineLevel="0" collapsed="false">
      <c r="A626" s="1" t="s">
        <v>276</v>
      </c>
      <c r="B626" s="1" t="s">
        <v>1221</v>
      </c>
      <c r="C626" s="1" t="n">
        <v>22</v>
      </c>
      <c r="E626" s="1" t="s">
        <v>1858</v>
      </c>
      <c r="F626" s="1" t="s">
        <v>1823</v>
      </c>
      <c r="G626" s="1" t="s">
        <v>1862</v>
      </c>
      <c r="H626" s="1" t="s">
        <v>1863</v>
      </c>
      <c r="J626" s="1" t="s">
        <v>1864</v>
      </c>
      <c r="K626" s="1" t="n">
        <f aca="false">IF(Search!$D$5="",0,IF(AND(OR(Search!$N$5="",ISNUMBER(SEARCH(Search!$N$5,J626))),OR(Search!$N$6="",ISNUMBER(SEARCH(Search!$N$6,J626))),OR(Search!$N$7="",ISNUMBER(SEARCH(Search!$N$7,J626))),OR(Search!$N$8="",ISNUMBER(SEARCH(Search!$N$8,J626)))),1,0))</f>
        <v>0</v>
      </c>
      <c r="L626" s="1" t="n">
        <f aca="false">L625+K626</f>
        <v>0</v>
      </c>
    </row>
    <row r="627" customFormat="false" ht="15" hidden="false" customHeight="true" outlineLevel="0" collapsed="false">
      <c r="A627" s="1" t="s">
        <v>276</v>
      </c>
      <c r="B627" s="1" t="s">
        <v>1221</v>
      </c>
      <c r="C627" s="1" t="n">
        <v>23</v>
      </c>
      <c r="E627" s="1" t="s">
        <v>1858</v>
      </c>
      <c r="F627" s="1" t="s">
        <v>987</v>
      </c>
      <c r="G627" s="1" t="s">
        <v>1865</v>
      </c>
      <c r="H627" s="1" t="s">
        <v>1866</v>
      </c>
      <c r="J627" s="1" t="s">
        <v>1867</v>
      </c>
      <c r="K627" s="1" t="n">
        <f aca="false">IF(Search!$D$5="",0,IF(AND(OR(Search!$N$5="",ISNUMBER(SEARCH(Search!$N$5,J627))),OR(Search!$N$6="",ISNUMBER(SEARCH(Search!$N$6,J627))),OR(Search!$N$7="",ISNUMBER(SEARCH(Search!$N$7,J627))),OR(Search!$N$8="",ISNUMBER(SEARCH(Search!$N$8,J627)))),1,0))</f>
        <v>0</v>
      </c>
      <c r="L627" s="1" t="n">
        <f aca="false">L626+K627</f>
        <v>0</v>
      </c>
    </row>
    <row r="628" customFormat="false" ht="15" hidden="false" customHeight="true" outlineLevel="0" collapsed="false">
      <c r="A628" s="1" t="s">
        <v>276</v>
      </c>
      <c r="B628" s="1" t="s">
        <v>1221</v>
      </c>
      <c r="C628" s="1" t="n">
        <v>24</v>
      </c>
      <c r="E628" s="1" t="s">
        <v>1858</v>
      </c>
      <c r="F628" s="1" t="s">
        <v>1868</v>
      </c>
      <c r="G628" s="1" t="s">
        <v>1869</v>
      </c>
      <c r="H628" s="1" t="s">
        <v>1870</v>
      </c>
      <c r="J628" s="1" t="s">
        <v>1871</v>
      </c>
      <c r="K628" s="1" t="n">
        <f aca="false">IF(Search!$D$5="",0,IF(AND(OR(Search!$N$5="",ISNUMBER(SEARCH(Search!$N$5,J628))),OR(Search!$N$6="",ISNUMBER(SEARCH(Search!$N$6,J628))),OR(Search!$N$7="",ISNUMBER(SEARCH(Search!$N$7,J628))),OR(Search!$N$8="",ISNUMBER(SEARCH(Search!$N$8,J628)))),1,0))</f>
        <v>0</v>
      </c>
      <c r="L628" s="1" t="n">
        <f aca="false">L627+K628</f>
        <v>0</v>
      </c>
    </row>
    <row r="629" customFormat="false" ht="15" hidden="false" customHeight="true" outlineLevel="0" collapsed="false">
      <c r="A629" s="1" t="s">
        <v>276</v>
      </c>
      <c r="B629" s="1" t="s">
        <v>1221</v>
      </c>
      <c r="C629" s="1" t="n">
        <v>25</v>
      </c>
      <c r="E629" s="1" t="s">
        <v>1858</v>
      </c>
      <c r="F629" s="1" t="s">
        <v>1830</v>
      </c>
      <c r="G629" s="1" t="s">
        <v>1566</v>
      </c>
      <c r="H629" s="1" t="s">
        <v>1567</v>
      </c>
      <c r="J629" s="1" t="s">
        <v>1872</v>
      </c>
      <c r="K629" s="1" t="n">
        <f aca="false">IF(Search!$D$5="",0,IF(AND(OR(Search!$N$5="",ISNUMBER(SEARCH(Search!$N$5,J629))),OR(Search!$N$6="",ISNUMBER(SEARCH(Search!$N$6,J629))),OR(Search!$N$7="",ISNUMBER(SEARCH(Search!$N$7,J629))),OR(Search!$N$8="",ISNUMBER(SEARCH(Search!$N$8,J629)))),1,0))</f>
        <v>0</v>
      </c>
      <c r="L629" s="1" t="n">
        <f aca="false">L628+K629</f>
        <v>0</v>
      </c>
    </row>
    <row r="630" customFormat="false" ht="15" hidden="false" customHeight="true" outlineLevel="0" collapsed="false">
      <c r="A630" s="1" t="s">
        <v>276</v>
      </c>
      <c r="B630" s="1" t="s">
        <v>1221</v>
      </c>
      <c r="C630" s="1" t="n">
        <v>26</v>
      </c>
      <c r="E630" s="1" t="s">
        <v>1858</v>
      </c>
      <c r="F630" s="1" t="s">
        <v>1834</v>
      </c>
      <c r="G630" s="1" t="s">
        <v>1873</v>
      </c>
      <c r="H630" s="1" t="s">
        <v>1874</v>
      </c>
      <c r="J630" s="1" t="s">
        <v>1875</v>
      </c>
      <c r="K630" s="1" t="n">
        <f aca="false">IF(Search!$D$5="",0,IF(AND(OR(Search!$N$5="",ISNUMBER(SEARCH(Search!$N$5,J630))),OR(Search!$N$6="",ISNUMBER(SEARCH(Search!$N$6,J630))),OR(Search!$N$7="",ISNUMBER(SEARCH(Search!$N$7,J630))),OR(Search!$N$8="",ISNUMBER(SEARCH(Search!$N$8,J630)))),1,0))</f>
        <v>0</v>
      </c>
      <c r="L630" s="1" t="n">
        <f aca="false">L629+K630</f>
        <v>0</v>
      </c>
    </row>
    <row r="631" customFormat="false" ht="15" hidden="false" customHeight="true" outlineLevel="0" collapsed="false">
      <c r="A631" s="1" t="s">
        <v>276</v>
      </c>
      <c r="B631" s="1" t="s">
        <v>1221</v>
      </c>
      <c r="C631" s="1" t="n">
        <v>27</v>
      </c>
      <c r="E631" s="1" t="s">
        <v>1858</v>
      </c>
      <c r="F631" s="1" t="s">
        <v>1838</v>
      </c>
      <c r="G631" s="1" t="s">
        <v>1876</v>
      </c>
      <c r="H631" s="1" t="s">
        <v>584</v>
      </c>
      <c r="J631" s="1" t="s">
        <v>1877</v>
      </c>
      <c r="K631" s="1" t="n">
        <f aca="false">IF(Search!$D$5="",0,IF(AND(OR(Search!$N$5="",ISNUMBER(SEARCH(Search!$N$5,J631))),OR(Search!$N$6="",ISNUMBER(SEARCH(Search!$N$6,J631))),OR(Search!$N$7="",ISNUMBER(SEARCH(Search!$N$7,J631))),OR(Search!$N$8="",ISNUMBER(SEARCH(Search!$N$8,J631)))),1,0))</f>
        <v>0</v>
      </c>
      <c r="L631" s="1" t="n">
        <f aca="false">L630+K631</f>
        <v>0</v>
      </c>
    </row>
    <row r="632" customFormat="false" ht="15" hidden="false" customHeight="true" outlineLevel="0" collapsed="false">
      <c r="A632" s="1" t="s">
        <v>276</v>
      </c>
      <c r="B632" s="1" t="s">
        <v>1221</v>
      </c>
      <c r="C632" s="1" t="n">
        <v>28</v>
      </c>
      <c r="E632" s="1" t="s">
        <v>1878</v>
      </c>
      <c r="F632" s="1" t="s">
        <v>987</v>
      </c>
      <c r="G632" s="1" t="s">
        <v>1879</v>
      </c>
      <c r="H632" s="1" t="s">
        <v>1880</v>
      </c>
      <c r="J632" s="1" t="s">
        <v>1881</v>
      </c>
      <c r="K632" s="1" t="n">
        <f aca="false">IF(Search!$D$5="",0,IF(AND(OR(Search!$N$5="",ISNUMBER(SEARCH(Search!$N$5,J632))),OR(Search!$N$6="",ISNUMBER(SEARCH(Search!$N$6,J632))),OR(Search!$N$7="",ISNUMBER(SEARCH(Search!$N$7,J632))),OR(Search!$N$8="",ISNUMBER(SEARCH(Search!$N$8,J632)))),1,0))</f>
        <v>0</v>
      </c>
      <c r="L632" s="1" t="n">
        <f aca="false">L631+K632</f>
        <v>0</v>
      </c>
    </row>
    <row r="633" customFormat="false" ht="15" hidden="false" customHeight="true" outlineLevel="0" collapsed="false">
      <c r="A633" s="1" t="s">
        <v>276</v>
      </c>
      <c r="B633" s="1" t="s">
        <v>1221</v>
      </c>
      <c r="C633" s="1" t="n">
        <v>29</v>
      </c>
      <c r="E633" s="1" t="s">
        <v>1878</v>
      </c>
      <c r="F633" s="1" t="s">
        <v>1868</v>
      </c>
      <c r="G633" s="1" t="s">
        <v>1882</v>
      </c>
      <c r="H633" s="1" t="s">
        <v>1883</v>
      </c>
      <c r="J633" s="1" t="s">
        <v>1884</v>
      </c>
      <c r="K633" s="1" t="n">
        <f aca="false">IF(Search!$D$5="",0,IF(AND(OR(Search!$N$5="",ISNUMBER(SEARCH(Search!$N$5,J633))),OR(Search!$N$6="",ISNUMBER(SEARCH(Search!$N$6,J633))),OR(Search!$N$7="",ISNUMBER(SEARCH(Search!$N$7,J633))),OR(Search!$N$8="",ISNUMBER(SEARCH(Search!$N$8,J633)))),1,0))</f>
        <v>0</v>
      </c>
      <c r="L633" s="1" t="n">
        <f aca="false">L632+K633</f>
        <v>0</v>
      </c>
    </row>
    <row r="634" customFormat="false" ht="15" hidden="false" customHeight="true" outlineLevel="0" collapsed="false">
      <c r="A634" s="1" t="s">
        <v>276</v>
      </c>
      <c r="B634" s="1" t="s">
        <v>1221</v>
      </c>
      <c r="C634" s="1" t="n">
        <v>30</v>
      </c>
      <c r="E634" s="1" t="s">
        <v>1878</v>
      </c>
      <c r="F634" s="1" t="s">
        <v>1830</v>
      </c>
      <c r="G634" s="1" t="s">
        <v>1885</v>
      </c>
      <c r="H634" s="1" t="s">
        <v>1886</v>
      </c>
      <c r="J634" s="1" t="s">
        <v>1887</v>
      </c>
      <c r="K634" s="1" t="n">
        <f aca="false">IF(Search!$D$5="",0,IF(AND(OR(Search!$N$5="",ISNUMBER(SEARCH(Search!$N$5,J634))),OR(Search!$N$6="",ISNUMBER(SEARCH(Search!$N$6,J634))),OR(Search!$N$7="",ISNUMBER(SEARCH(Search!$N$7,J634))),OR(Search!$N$8="",ISNUMBER(SEARCH(Search!$N$8,J634)))),1,0))</f>
        <v>0</v>
      </c>
      <c r="L634" s="1" t="n">
        <f aca="false">L633+K634</f>
        <v>0</v>
      </c>
    </row>
    <row r="635" customFormat="false" ht="15" hidden="false" customHeight="true" outlineLevel="0" collapsed="false">
      <c r="A635" s="1" t="s">
        <v>276</v>
      </c>
      <c r="B635" s="1" t="s">
        <v>1221</v>
      </c>
      <c r="C635" s="1" t="n">
        <v>31</v>
      </c>
      <c r="E635" s="1" t="s">
        <v>1878</v>
      </c>
      <c r="F635" s="1" t="s">
        <v>1834</v>
      </c>
      <c r="G635" s="1" t="s">
        <v>1888</v>
      </c>
      <c r="H635" s="1" t="s">
        <v>1611</v>
      </c>
      <c r="J635" s="1" t="s">
        <v>1889</v>
      </c>
      <c r="K635" s="1" t="n">
        <f aca="false">IF(Search!$D$5="",0,IF(AND(OR(Search!$N$5="",ISNUMBER(SEARCH(Search!$N$5,J635))),OR(Search!$N$6="",ISNUMBER(SEARCH(Search!$N$6,J635))),OR(Search!$N$7="",ISNUMBER(SEARCH(Search!$N$7,J635))),OR(Search!$N$8="",ISNUMBER(SEARCH(Search!$N$8,J635)))),1,0))</f>
        <v>0</v>
      </c>
      <c r="L635" s="1" t="n">
        <f aca="false">L634+K635</f>
        <v>0</v>
      </c>
    </row>
    <row r="636" customFormat="false" ht="15" hidden="false" customHeight="true" outlineLevel="0" collapsed="false">
      <c r="A636" s="1" t="s">
        <v>276</v>
      </c>
      <c r="B636" s="1" t="s">
        <v>1221</v>
      </c>
      <c r="C636" s="1" t="n">
        <v>32</v>
      </c>
      <c r="E636" s="1" t="s">
        <v>1878</v>
      </c>
      <c r="F636" s="1" t="s">
        <v>1838</v>
      </c>
      <c r="G636" s="1" t="s">
        <v>1890</v>
      </c>
      <c r="H636" s="1" t="s">
        <v>1891</v>
      </c>
      <c r="J636" s="1" t="s">
        <v>1892</v>
      </c>
      <c r="K636" s="1" t="n">
        <f aca="false">IF(Search!$D$5="",0,IF(AND(OR(Search!$N$5="",ISNUMBER(SEARCH(Search!$N$5,J636))),OR(Search!$N$6="",ISNUMBER(SEARCH(Search!$N$6,J636))),OR(Search!$N$7="",ISNUMBER(SEARCH(Search!$N$7,J636))),OR(Search!$N$8="",ISNUMBER(SEARCH(Search!$N$8,J636)))),1,0))</f>
        <v>0</v>
      </c>
      <c r="L636" s="1" t="n">
        <f aca="false">L635+K636</f>
        <v>0</v>
      </c>
    </row>
    <row r="637" customFormat="false" ht="15" hidden="false" customHeight="true" outlineLevel="0" collapsed="false">
      <c r="A637" s="1" t="s">
        <v>276</v>
      </c>
      <c r="B637" s="1" t="s">
        <v>1221</v>
      </c>
      <c r="C637" s="1" t="n">
        <v>33</v>
      </c>
      <c r="E637" s="1" t="s">
        <v>1893</v>
      </c>
      <c r="F637" s="1" t="s">
        <v>987</v>
      </c>
      <c r="G637" s="1" t="s">
        <v>1894</v>
      </c>
      <c r="H637" s="1" t="s">
        <v>1895</v>
      </c>
      <c r="J637" s="1" t="s">
        <v>1896</v>
      </c>
      <c r="K637" s="1" t="n">
        <f aca="false">IF(Search!$D$5="",0,IF(AND(OR(Search!$N$5="",ISNUMBER(SEARCH(Search!$N$5,J637))),OR(Search!$N$6="",ISNUMBER(SEARCH(Search!$N$6,J637))),OR(Search!$N$7="",ISNUMBER(SEARCH(Search!$N$7,J637))),OR(Search!$N$8="",ISNUMBER(SEARCH(Search!$N$8,J637)))),1,0))</f>
        <v>0</v>
      </c>
      <c r="L637" s="1" t="n">
        <f aca="false">L636+K637</f>
        <v>0</v>
      </c>
    </row>
    <row r="638" customFormat="false" ht="15" hidden="false" customHeight="true" outlineLevel="0" collapsed="false">
      <c r="A638" s="1" t="s">
        <v>276</v>
      </c>
      <c r="B638" s="1" t="s">
        <v>1221</v>
      </c>
      <c r="C638" s="1" t="n">
        <v>34</v>
      </c>
      <c r="E638" s="1" t="s">
        <v>1893</v>
      </c>
      <c r="F638" s="1" t="s">
        <v>1830</v>
      </c>
      <c r="G638" s="1" t="s">
        <v>1855</v>
      </c>
      <c r="H638" s="1" t="s">
        <v>1856</v>
      </c>
      <c r="J638" s="1" t="s">
        <v>1897</v>
      </c>
      <c r="K638" s="1" t="n">
        <f aca="false">IF(Search!$D$5="",0,IF(AND(OR(Search!$N$5="",ISNUMBER(SEARCH(Search!$N$5,J638))),OR(Search!$N$6="",ISNUMBER(SEARCH(Search!$N$6,J638))),OR(Search!$N$7="",ISNUMBER(SEARCH(Search!$N$7,J638))),OR(Search!$N$8="",ISNUMBER(SEARCH(Search!$N$8,J638)))),1,0))</f>
        <v>0</v>
      </c>
      <c r="L638" s="1" t="n">
        <f aca="false">L637+K638</f>
        <v>0</v>
      </c>
    </row>
    <row r="639" customFormat="false" ht="15" hidden="false" customHeight="true" outlineLevel="0" collapsed="false">
      <c r="A639" s="1" t="s">
        <v>276</v>
      </c>
      <c r="B639" s="1" t="s">
        <v>1221</v>
      </c>
      <c r="C639" s="1" t="n">
        <v>35</v>
      </c>
      <c r="E639" s="1" t="s">
        <v>1893</v>
      </c>
      <c r="F639" s="1" t="s">
        <v>1834</v>
      </c>
      <c r="G639" s="1" t="s">
        <v>1898</v>
      </c>
      <c r="H639" s="1" t="s">
        <v>1899</v>
      </c>
      <c r="J639" s="1" t="s">
        <v>1900</v>
      </c>
      <c r="K639" s="1" t="n">
        <f aca="false">IF(Search!$D$5="",0,IF(AND(OR(Search!$N$5="",ISNUMBER(SEARCH(Search!$N$5,J639))),OR(Search!$N$6="",ISNUMBER(SEARCH(Search!$N$6,J639))),OR(Search!$N$7="",ISNUMBER(SEARCH(Search!$N$7,J639))),OR(Search!$N$8="",ISNUMBER(SEARCH(Search!$N$8,J639)))),1,0))</f>
        <v>0</v>
      </c>
      <c r="L639" s="1" t="n">
        <f aca="false">L638+K639</f>
        <v>0</v>
      </c>
    </row>
    <row r="640" customFormat="false" ht="15" hidden="false" customHeight="true" outlineLevel="0" collapsed="false">
      <c r="A640" s="1" t="s">
        <v>276</v>
      </c>
      <c r="B640" s="1" t="s">
        <v>1221</v>
      </c>
      <c r="C640" s="1" t="n">
        <v>36</v>
      </c>
      <c r="E640" s="1" t="s">
        <v>1893</v>
      </c>
      <c r="F640" s="1" t="s">
        <v>1838</v>
      </c>
      <c r="G640" s="1" t="s">
        <v>1901</v>
      </c>
      <c r="H640" s="1" t="s">
        <v>1902</v>
      </c>
      <c r="J640" s="1" t="s">
        <v>1903</v>
      </c>
      <c r="K640" s="1" t="n">
        <f aca="false">IF(Search!$D$5="",0,IF(AND(OR(Search!$N$5="",ISNUMBER(SEARCH(Search!$N$5,J640))),OR(Search!$N$6="",ISNUMBER(SEARCH(Search!$N$6,J640))),OR(Search!$N$7="",ISNUMBER(SEARCH(Search!$N$7,J640))),OR(Search!$N$8="",ISNUMBER(SEARCH(Search!$N$8,J640)))),1,0))</f>
        <v>0</v>
      </c>
      <c r="L640" s="1" t="n">
        <f aca="false">L639+K640</f>
        <v>0</v>
      </c>
    </row>
    <row r="641" customFormat="false" ht="15" hidden="false" customHeight="true" outlineLevel="0" collapsed="false">
      <c r="A641" s="1" t="s">
        <v>276</v>
      </c>
      <c r="B641" s="1" t="s">
        <v>1221</v>
      </c>
      <c r="C641" s="1" t="n">
        <v>37</v>
      </c>
      <c r="E641" s="1" t="s">
        <v>1893</v>
      </c>
      <c r="F641" s="1" t="s">
        <v>1904</v>
      </c>
      <c r="G641" s="1" t="s">
        <v>1905</v>
      </c>
      <c r="H641" s="1" t="s">
        <v>1906</v>
      </c>
      <c r="J641" s="1" t="s">
        <v>1907</v>
      </c>
      <c r="K641" s="1" t="n">
        <f aca="false">IF(Search!$D$5="",0,IF(AND(OR(Search!$N$5="",ISNUMBER(SEARCH(Search!$N$5,J641))),OR(Search!$N$6="",ISNUMBER(SEARCH(Search!$N$6,J641))),OR(Search!$N$7="",ISNUMBER(SEARCH(Search!$N$7,J641))),OR(Search!$N$8="",ISNUMBER(SEARCH(Search!$N$8,J641)))),1,0))</f>
        <v>0</v>
      </c>
      <c r="L641" s="1" t="n">
        <f aca="false">L640+K641</f>
        <v>0</v>
      </c>
    </row>
    <row r="642" customFormat="false" ht="15" hidden="false" customHeight="true" outlineLevel="0" collapsed="false">
      <c r="A642" s="1" t="s">
        <v>276</v>
      </c>
      <c r="B642" s="1" t="s">
        <v>1221</v>
      </c>
      <c r="C642" s="1" t="n">
        <v>38</v>
      </c>
      <c r="E642" s="1" t="s">
        <v>1908</v>
      </c>
      <c r="F642" s="1" t="s">
        <v>987</v>
      </c>
      <c r="G642" s="1" t="s">
        <v>1909</v>
      </c>
      <c r="H642" s="1" t="s">
        <v>1910</v>
      </c>
      <c r="J642" s="1" t="s">
        <v>1911</v>
      </c>
      <c r="K642" s="1" t="n">
        <f aca="false">IF(Search!$D$5="",0,IF(AND(OR(Search!$N$5="",ISNUMBER(SEARCH(Search!$N$5,J642))),OR(Search!$N$6="",ISNUMBER(SEARCH(Search!$N$6,J642))),OR(Search!$N$7="",ISNUMBER(SEARCH(Search!$N$7,J642))),OR(Search!$N$8="",ISNUMBER(SEARCH(Search!$N$8,J642)))),1,0))</f>
        <v>0</v>
      </c>
      <c r="L642" s="1" t="n">
        <f aca="false">L641+K642</f>
        <v>0</v>
      </c>
    </row>
    <row r="643" customFormat="false" ht="15" hidden="false" customHeight="true" outlineLevel="0" collapsed="false">
      <c r="A643" s="1" t="s">
        <v>276</v>
      </c>
      <c r="B643" s="1" t="s">
        <v>1221</v>
      </c>
      <c r="C643" s="1" t="n">
        <v>39</v>
      </c>
      <c r="E643" s="1" t="s">
        <v>1908</v>
      </c>
      <c r="F643" s="1" t="s">
        <v>1868</v>
      </c>
      <c r="G643" s="1" t="s">
        <v>1912</v>
      </c>
      <c r="H643" s="1" t="s">
        <v>1913</v>
      </c>
      <c r="J643" s="1" t="s">
        <v>1914</v>
      </c>
      <c r="K643" s="1" t="n">
        <f aca="false">IF(Search!$D$5="",0,IF(AND(OR(Search!$N$5="",ISNUMBER(SEARCH(Search!$N$5,J643))),OR(Search!$N$6="",ISNUMBER(SEARCH(Search!$N$6,J643))),OR(Search!$N$7="",ISNUMBER(SEARCH(Search!$N$7,J643))),OR(Search!$N$8="",ISNUMBER(SEARCH(Search!$N$8,J643)))),1,0))</f>
        <v>0</v>
      </c>
      <c r="L643" s="1" t="n">
        <f aca="false">L642+K643</f>
        <v>0</v>
      </c>
    </row>
    <row r="644" customFormat="false" ht="15" hidden="false" customHeight="true" outlineLevel="0" collapsed="false">
      <c r="A644" s="1" t="s">
        <v>276</v>
      </c>
      <c r="B644" s="1" t="s">
        <v>1221</v>
      </c>
      <c r="C644" s="1" t="n">
        <v>40</v>
      </c>
      <c r="E644" s="1" t="s">
        <v>1908</v>
      </c>
      <c r="F644" s="1" t="s">
        <v>1830</v>
      </c>
      <c r="G644" s="1" t="s">
        <v>1479</v>
      </c>
      <c r="H644" s="1" t="s">
        <v>1480</v>
      </c>
      <c r="J644" s="1" t="s">
        <v>1915</v>
      </c>
      <c r="K644" s="1" t="n">
        <f aca="false">IF(Search!$D$5="",0,IF(AND(OR(Search!$N$5="",ISNUMBER(SEARCH(Search!$N$5,J644))),OR(Search!$N$6="",ISNUMBER(SEARCH(Search!$N$6,J644))),OR(Search!$N$7="",ISNUMBER(SEARCH(Search!$N$7,J644))),OR(Search!$N$8="",ISNUMBER(SEARCH(Search!$N$8,J644)))),1,0))</f>
        <v>0</v>
      </c>
      <c r="L644" s="1" t="n">
        <f aca="false">L643+K644</f>
        <v>0</v>
      </c>
    </row>
    <row r="645" customFormat="false" ht="15" hidden="false" customHeight="true" outlineLevel="0" collapsed="false">
      <c r="A645" s="1" t="s">
        <v>276</v>
      </c>
      <c r="B645" s="1" t="s">
        <v>1221</v>
      </c>
      <c r="C645" s="1" t="n">
        <v>41</v>
      </c>
      <c r="E645" s="1" t="s">
        <v>1908</v>
      </c>
      <c r="F645" s="1" t="s">
        <v>1834</v>
      </c>
      <c r="G645" s="1" t="s">
        <v>1916</v>
      </c>
      <c r="H645" s="1" t="s">
        <v>1917</v>
      </c>
      <c r="J645" s="1" t="s">
        <v>1918</v>
      </c>
      <c r="K645" s="1" t="n">
        <f aca="false">IF(Search!$D$5="",0,IF(AND(OR(Search!$N$5="",ISNUMBER(SEARCH(Search!$N$5,J645))),OR(Search!$N$6="",ISNUMBER(SEARCH(Search!$N$6,J645))),OR(Search!$N$7="",ISNUMBER(SEARCH(Search!$N$7,J645))),OR(Search!$N$8="",ISNUMBER(SEARCH(Search!$N$8,J645)))),1,0))</f>
        <v>0</v>
      </c>
      <c r="L645" s="1" t="n">
        <f aca="false">L644+K645</f>
        <v>0</v>
      </c>
    </row>
    <row r="646" customFormat="false" ht="15" hidden="false" customHeight="true" outlineLevel="0" collapsed="false">
      <c r="A646" s="1" t="s">
        <v>276</v>
      </c>
      <c r="B646" s="1" t="s">
        <v>1221</v>
      </c>
      <c r="C646" s="1" t="n">
        <v>42</v>
      </c>
      <c r="E646" s="1" t="s">
        <v>1908</v>
      </c>
      <c r="F646" s="1" t="s">
        <v>1919</v>
      </c>
      <c r="G646" s="1" t="s">
        <v>1920</v>
      </c>
      <c r="H646" s="1" t="s">
        <v>1921</v>
      </c>
      <c r="J646" s="1" t="s">
        <v>1922</v>
      </c>
      <c r="K646" s="1" t="n">
        <f aca="false">IF(Search!$D$5="",0,IF(AND(OR(Search!$N$5="",ISNUMBER(SEARCH(Search!$N$5,J646))),OR(Search!$N$6="",ISNUMBER(SEARCH(Search!$N$6,J646))),OR(Search!$N$7="",ISNUMBER(SEARCH(Search!$N$7,J646))),OR(Search!$N$8="",ISNUMBER(SEARCH(Search!$N$8,J646)))),1,0))</f>
        <v>0</v>
      </c>
      <c r="L646" s="1" t="n">
        <f aca="false">L645+K646</f>
        <v>0</v>
      </c>
    </row>
    <row r="647" customFormat="false" ht="15" hidden="false" customHeight="true" outlineLevel="0" collapsed="false">
      <c r="A647" s="1" t="s">
        <v>276</v>
      </c>
      <c r="B647" s="1" t="s">
        <v>1221</v>
      </c>
      <c r="C647" s="1" t="n">
        <v>43</v>
      </c>
      <c r="E647" s="1" t="s">
        <v>1908</v>
      </c>
      <c r="F647" s="1" t="s">
        <v>1838</v>
      </c>
      <c r="G647" s="1" t="s">
        <v>1923</v>
      </c>
      <c r="H647" s="1" t="s">
        <v>1924</v>
      </c>
      <c r="J647" s="1" t="s">
        <v>1925</v>
      </c>
      <c r="K647" s="1" t="n">
        <f aca="false">IF(Search!$D$5="",0,IF(AND(OR(Search!$N$5="",ISNUMBER(SEARCH(Search!$N$5,J647))),OR(Search!$N$6="",ISNUMBER(SEARCH(Search!$N$6,J647))),OR(Search!$N$7="",ISNUMBER(SEARCH(Search!$N$7,J647))),OR(Search!$N$8="",ISNUMBER(SEARCH(Search!$N$8,J647)))),1,0))</f>
        <v>0</v>
      </c>
      <c r="L647" s="1" t="n">
        <f aca="false">L646+K647</f>
        <v>0</v>
      </c>
    </row>
    <row r="648" customFormat="false" ht="15" hidden="false" customHeight="true" outlineLevel="0" collapsed="false">
      <c r="A648" s="1" t="s">
        <v>276</v>
      </c>
      <c r="B648" s="1" t="s">
        <v>1221</v>
      </c>
      <c r="C648" s="1" t="n">
        <v>44</v>
      </c>
      <c r="E648" s="1" t="s">
        <v>1908</v>
      </c>
      <c r="F648" s="1" t="s">
        <v>1904</v>
      </c>
      <c r="G648" s="1" t="s">
        <v>1926</v>
      </c>
      <c r="H648" s="1" t="s">
        <v>1927</v>
      </c>
      <c r="J648" s="1" t="s">
        <v>1928</v>
      </c>
      <c r="K648" s="1" t="n">
        <f aca="false">IF(Search!$D$5="",0,IF(AND(OR(Search!$N$5="",ISNUMBER(SEARCH(Search!$N$5,J648))),OR(Search!$N$6="",ISNUMBER(SEARCH(Search!$N$6,J648))),OR(Search!$N$7="",ISNUMBER(SEARCH(Search!$N$7,J648))),OR(Search!$N$8="",ISNUMBER(SEARCH(Search!$N$8,J648)))),1,0))</f>
        <v>0</v>
      </c>
      <c r="L648" s="1" t="n">
        <f aca="false">L647+K648</f>
        <v>0</v>
      </c>
    </row>
    <row r="649" customFormat="false" ht="15" hidden="false" customHeight="true" outlineLevel="0" collapsed="false">
      <c r="A649" s="1" t="s">
        <v>276</v>
      </c>
      <c r="B649" s="1" t="s">
        <v>1221</v>
      </c>
      <c r="C649" s="1" t="n">
        <v>45</v>
      </c>
      <c r="E649" s="1" t="s">
        <v>1908</v>
      </c>
      <c r="F649" s="1" t="s">
        <v>1929</v>
      </c>
      <c r="G649" s="1" t="s">
        <v>1930</v>
      </c>
      <c r="H649" s="1" t="s">
        <v>1931</v>
      </c>
      <c r="J649" s="1" t="s">
        <v>1932</v>
      </c>
      <c r="K649" s="1" t="n">
        <f aca="false">IF(Search!$D$5="",0,IF(AND(OR(Search!$N$5="",ISNUMBER(SEARCH(Search!$N$5,J649))),OR(Search!$N$6="",ISNUMBER(SEARCH(Search!$N$6,J649))),OR(Search!$N$7="",ISNUMBER(SEARCH(Search!$N$7,J649))),OR(Search!$N$8="",ISNUMBER(SEARCH(Search!$N$8,J649)))),1,0))</f>
        <v>0</v>
      </c>
      <c r="L649" s="1" t="n">
        <f aca="false">L648+K649</f>
        <v>0</v>
      </c>
    </row>
    <row r="650" customFormat="false" ht="15" hidden="false" customHeight="true" outlineLevel="0" collapsed="false">
      <c r="A650" s="1" t="s">
        <v>276</v>
      </c>
      <c r="B650" s="1" t="s">
        <v>1221</v>
      </c>
      <c r="C650" s="1" t="n">
        <v>46</v>
      </c>
      <c r="E650" s="1" t="s">
        <v>1933</v>
      </c>
      <c r="F650" s="1" t="s">
        <v>1830</v>
      </c>
      <c r="G650" s="1" t="s">
        <v>1934</v>
      </c>
      <c r="H650" s="1" t="s">
        <v>1935</v>
      </c>
      <c r="J650" s="1" t="s">
        <v>1936</v>
      </c>
      <c r="K650" s="1" t="n">
        <f aca="false">IF(Search!$D$5="",0,IF(AND(OR(Search!$N$5="",ISNUMBER(SEARCH(Search!$N$5,J650))),OR(Search!$N$6="",ISNUMBER(SEARCH(Search!$N$6,J650))),OR(Search!$N$7="",ISNUMBER(SEARCH(Search!$N$7,J650))),OR(Search!$N$8="",ISNUMBER(SEARCH(Search!$N$8,J650)))),1,0))</f>
        <v>0</v>
      </c>
      <c r="L650" s="1" t="n">
        <f aca="false">L649+K650</f>
        <v>0</v>
      </c>
    </row>
    <row r="651" customFormat="false" ht="15" hidden="false" customHeight="true" outlineLevel="0" collapsed="false">
      <c r="A651" s="1" t="s">
        <v>276</v>
      </c>
      <c r="B651" s="1" t="s">
        <v>1221</v>
      </c>
      <c r="C651" s="1" t="n">
        <v>47</v>
      </c>
      <c r="E651" s="1" t="s">
        <v>1933</v>
      </c>
      <c r="F651" s="1" t="s">
        <v>1834</v>
      </c>
      <c r="G651" s="1" t="s">
        <v>1937</v>
      </c>
      <c r="H651" s="1" t="s">
        <v>1938</v>
      </c>
      <c r="J651" s="1" t="s">
        <v>1939</v>
      </c>
      <c r="K651" s="1" t="n">
        <f aca="false">IF(Search!$D$5="",0,IF(AND(OR(Search!$N$5="",ISNUMBER(SEARCH(Search!$N$5,J651))),OR(Search!$N$6="",ISNUMBER(SEARCH(Search!$N$6,J651))),OR(Search!$N$7="",ISNUMBER(SEARCH(Search!$N$7,J651))),OR(Search!$N$8="",ISNUMBER(SEARCH(Search!$N$8,J651)))),1,0))</f>
        <v>0</v>
      </c>
      <c r="L651" s="1" t="n">
        <f aca="false">L650+K651</f>
        <v>0</v>
      </c>
    </row>
    <row r="652" customFormat="false" ht="15" hidden="false" customHeight="true" outlineLevel="0" collapsed="false">
      <c r="A652" s="1" t="s">
        <v>276</v>
      </c>
      <c r="B652" s="1" t="s">
        <v>1221</v>
      </c>
      <c r="C652" s="1" t="n">
        <v>48</v>
      </c>
      <c r="E652" s="1" t="s">
        <v>1933</v>
      </c>
      <c r="F652" s="1" t="s">
        <v>1838</v>
      </c>
      <c r="G652" s="1" t="s">
        <v>1940</v>
      </c>
      <c r="H652" s="1" t="s">
        <v>1941</v>
      </c>
      <c r="J652" s="1" t="s">
        <v>1942</v>
      </c>
      <c r="K652" s="1" t="n">
        <f aca="false">IF(Search!$D$5="",0,IF(AND(OR(Search!$N$5="",ISNUMBER(SEARCH(Search!$N$5,J652))),OR(Search!$N$6="",ISNUMBER(SEARCH(Search!$N$6,J652))),OR(Search!$N$7="",ISNUMBER(SEARCH(Search!$N$7,J652))),OR(Search!$N$8="",ISNUMBER(SEARCH(Search!$N$8,J652)))),1,0))</f>
        <v>0</v>
      </c>
      <c r="L652" s="1" t="n">
        <f aca="false">L651+K652</f>
        <v>0</v>
      </c>
    </row>
    <row r="653" customFormat="false" ht="15" hidden="false" customHeight="true" outlineLevel="0" collapsed="false">
      <c r="A653" s="1" t="s">
        <v>276</v>
      </c>
      <c r="B653" s="1" t="s">
        <v>1221</v>
      </c>
      <c r="C653" s="1" t="n">
        <v>49</v>
      </c>
      <c r="E653" s="1" t="s">
        <v>1933</v>
      </c>
      <c r="F653" s="1" t="s">
        <v>1943</v>
      </c>
      <c r="G653" s="1" t="s">
        <v>1944</v>
      </c>
      <c r="H653" s="1" t="s">
        <v>1945</v>
      </c>
      <c r="J653" s="1" t="s">
        <v>1946</v>
      </c>
      <c r="K653" s="1" t="n">
        <f aca="false">IF(Search!$D$5="",0,IF(AND(OR(Search!$N$5="",ISNUMBER(SEARCH(Search!$N$5,J653))),OR(Search!$N$6="",ISNUMBER(SEARCH(Search!$N$6,J653))),OR(Search!$N$7="",ISNUMBER(SEARCH(Search!$N$7,J653))),OR(Search!$N$8="",ISNUMBER(SEARCH(Search!$N$8,J653)))),1,0))</f>
        <v>0</v>
      </c>
      <c r="L653" s="1" t="n">
        <f aca="false">L652+K653</f>
        <v>0</v>
      </c>
    </row>
    <row r="654" customFormat="false" ht="15" hidden="false" customHeight="true" outlineLevel="0" collapsed="false">
      <c r="A654" s="1" t="s">
        <v>276</v>
      </c>
      <c r="B654" s="1" t="s">
        <v>1221</v>
      </c>
      <c r="C654" s="1" t="n">
        <v>50</v>
      </c>
      <c r="E654" s="1" t="s">
        <v>1933</v>
      </c>
      <c r="F654" s="1" t="s">
        <v>1929</v>
      </c>
      <c r="G654" s="1" t="s">
        <v>1548</v>
      </c>
      <c r="H654" s="1" t="s">
        <v>1549</v>
      </c>
      <c r="J654" s="1" t="s">
        <v>1947</v>
      </c>
      <c r="K654" s="1" t="n">
        <f aca="false">IF(Search!$D$5="",0,IF(AND(OR(Search!$N$5="",ISNUMBER(SEARCH(Search!$N$5,J654))),OR(Search!$N$6="",ISNUMBER(SEARCH(Search!$N$6,J654))),OR(Search!$N$7="",ISNUMBER(SEARCH(Search!$N$7,J654))),OR(Search!$N$8="",ISNUMBER(SEARCH(Search!$N$8,J654)))),1,0))</f>
        <v>0</v>
      </c>
      <c r="L654" s="1" t="n">
        <f aca="false">L653+K654</f>
        <v>0</v>
      </c>
    </row>
    <row r="655" customFormat="false" ht="15" hidden="false" customHeight="true" outlineLevel="0" collapsed="false">
      <c r="A655" s="1" t="s">
        <v>276</v>
      </c>
      <c r="B655" s="1" t="s">
        <v>1221</v>
      </c>
      <c r="C655" s="1" t="n">
        <v>51</v>
      </c>
      <c r="E655" s="1" t="s">
        <v>1948</v>
      </c>
      <c r="F655" s="1" t="s">
        <v>1834</v>
      </c>
      <c r="G655" s="1" t="s">
        <v>1949</v>
      </c>
      <c r="H655" s="1" t="s">
        <v>1950</v>
      </c>
      <c r="J655" s="1" t="s">
        <v>1951</v>
      </c>
      <c r="K655" s="1" t="n">
        <f aca="false">IF(Search!$D$5="",0,IF(AND(OR(Search!$N$5="",ISNUMBER(SEARCH(Search!$N$5,J655))),OR(Search!$N$6="",ISNUMBER(SEARCH(Search!$N$6,J655))),OR(Search!$N$7="",ISNUMBER(SEARCH(Search!$N$7,J655))),OR(Search!$N$8="",ISNUMBER(SEARCH(Search!$N$8,J655)))),1,0))</f>
        <v>0</v>
      </c>
      <c r="L655" s="1" t="n">
        <f aca="false">L654+K655</f>
        <v>0</v>
      </c>
    </row>
    <row r="656" customFormat="false" ht="15" hidden="false" customHeight="true" outlineLevel="0" collapsed="false">
      <c r="A656" s="1" t="s">
        <v>276</v>
      </c>
      <c r="B656" s="1" t="s">
        <v>1221</v>
      </c>
      <c r="C656" s="1" t="n">
        <v>52</v>
      </c>
      <c r="E656" s="1" t="s">
        <v>1948</v>
      </c>
      <c r="F656" s="1" t="s">
        <v>1838</v>
      </c>
      <c r="G656" s="1" t="s">
        <v>1952</v>
      </c>
      <c r="H656" s="1" t="s">
        <v>1953</v>
      </c>
      <c r="J656" s="1" t="s">
        <v>1954</v>
      </c>
      <c r="K656" s="1" t="n">
        <f aca="false">IF(Search!$D$5="",0,IF(AND(OR(Search!$N$5="",ISNUMBER(SEARCH(Search!$N$5,J656))),OR(Search!$N$6="",ISNUMBER(SEARCH(Search!$N$6,J656))),OR(Search!$N$7="",ISNUMBER(SEARCH(Search!$N$7,J656))),OR(Search!$N$8="",ISNUMBER(SEARCH(Search!$N$8,J656)))),1,0))</f>
        <v>0</v>
      </c>
      <c r="L656" s="1" t="n">
        <f aca="false">L655+K656</f>
        <v>0</v>
      </c>
    </row>
    <row r="657" customFormat="false" ht="15" hidden="false" customHeight="true" outlineLevel="0" collapsed="false">
      <c r="A657" s="1" t="s">
        <v>276</v>
      </c>
      <c r="B657" s="1" t="s">
        <v>1221</v>
      </c>
      <c r="C657" s="1" t="n">
        <v>53</v>
      </c>
      <c r="E657" s="1" t="s">
        <v>1948</v>
      </c>
      <c r="F657" s="1" t="s">
        <v>1904</v>
      </c>
      <c r="G657" s="1" t="s">
        <v>1955</v>
      </c>
      <c r="H657" s="1" t="s">
        <v>1956</v>
      </c>
      <c r="J657" s="1" t="s">
        <v>1957</v>
      </c>
      <c r="K657" s="1" t="n">
        <f aca="false">IF(Search!$D$5="",0,IF(AND(OR(Search!$N$5="",ISNUMBER(SEARCH(Search!$N$5,J657))),OR(Search!$N$6="",ISNUMBER(SEARCH(Search!$N$6,J657))),OR(Search!$N$7="",ISNUMBER(SEARCH(Search!$N$7,J657))),OR(Search!$N$8="",ISNUMBER(SEARCH(Search!$N$8,J657)))),1,0))</f>
        <v>0</v>
      </c>
      <c r="L657" s="1" t="n">
        <f aca="false">L656+K657</f>
        <v>0</v>
      </c>
    </row>
    <row r="658" customFormat="false" ht="15" hidden="false" customHeight="true" outlineLevel="0" collapsed="false">
      <c r="A658" s="1" t="s">
        <v>276</v>
      </c>
      <c r="B658" s="1" t="s">
        <v>1221</v>
      </c>
      <c r="C658" s="1" t="n">
        <v>54</v>
      </c>
      <c r="E658" s="1" t="s">
        <v>1958</v>
      </c>
      <c r="F658" s="1" t="s">
        <v>1834</v>
      </c>
      <c r="G658" s="1" t="s">
        <v>1834</v>
      </c>
      <c r="H658" s="1" t="s">
        <v>1959</v>
      </c>
      <c r="J658" s="1" t="s">
        <v>1960</v>
      </c>
      <c r="K658" s="1" t="n">
        <f aca="false">IF(Search!$D$5="",0,IF(AND(OR(Search!$N$5="",ISNUMBER(SEARCH(Search!$N$5,J658))),OR(Search!$N$6="",ISNUMBER(SEARCH(Search!$N$6,J658))),OR(Search!$N$7="",ISNUMBER(SEARCH(Search!$N$7,J658))),OR(Search!$N$8="",ISNUMBER(SEARCH(Search!$N$8,J658)))),1,0))</f>
        <v>0</v>
      </c>
      <c r="L658" s="1" t="n">
        <f aca="false">L657+K658</f>
        <v>0</v>
      </c>
    </row>
    <row r="659" customFormat="false" ht="15" hidden="false" customHeight="true" outlineLevel="0" collapsed="false">
      <c r="A659" s="1" t="s">
        <v>276</v>
      </c>
      <c r="B659" s="1" t="s">
        <v>1221</v>
      </c>
      <c r="C659" s="1" t="n">
        <v>55</v>
      </c>
      <c r="E659" s="1" t="s">
        <v>1958</v>
      </c>
      <c r="F659" s="1" t="s">
        <v>1919</v>
      </c>
      <c r="G659" s="1" t="s">
        <v>1961</v>
      </c>
      <c r="H659" s="1" t="s">
        <v>1962</v>
      </c>
      <c r="J659" s="1" t="s">
        <v>1963</v>
      </c>
      <c r="K659" s="1" t="n">
        <f aca="false">IF(Search!$D$5="",0,IF(AND(OR(Search!$N$5="",ISNUMBER(SEARCH(Search!$N$5,J659))),OR(Search!$N$6="",ISNUMBER(SEARCH(Search!$N$6,J659))),OR(Search!$N$7="",ISNUMBER(SEARCH(Search!$N$7,J659))),OR(Search!$N$8="",ISNUMBER(SEARCH(Search!$N$8,J659)))),1,0))</f>
        <v>0</v>
      </c>
      <c r="L659" s="1" t="n">
        <f aca="false">L658+K659</f>
        <v>0</v>
      </c>
    </row>
    <row r="660" customFormat="false" ht="15" hidden="false" customHeight="true" outlineLevel="0" collapsed="false">
      <c r="A660" s="1" t="s">
        <v>276</v>
      </c>
      <c r="B660" s="1" t="s">
        <v>1221</v>
      </c>
      <c r="C660" s="1" t="n">
        <v>56</v>
      </c>
      <c r="E660" s="1" t="s">
        <v>1958</v>
      </c>
      <c r="F660" s="1" t="s">
        <v>1838</v>
      </c>
      <c r="G660" s="1" t="s">
        <v>1964</v>
      </c>
      <c r="H660" s="1" t="s">
        <v>1965</v>
      </c>
      <c r="J660" s="1" t="s">
        <v>1966</v>
      </c>
      <c r="K660" s="1" t="n">
        <f aca="false">IF(Search!$D$5="",0,IF(AND(OR(Search!$N$5="",ISNUMBER(SEARCH(Search!$N$5,J660))),OR(Search!$N$6="",ISNUMBER(SEARCH(Search!$N$6,J660))),OR(Search!$N$7="",ISNUMBER(SEARCH(Search!$N$7,J660))),OR(Search!$N$8="",ISNUMBER(SEARCH(Search!$N$8,J660)))),1,0))</f>
        <v>0</v>
      </c>
      <c r="L660" s="1" t="n">
        <f aca="false">L659+K660</f>
        <v>0</v>
      </c>
    </row>
    <row r="661" customFormat="false" ht="15" hidden="false" customHeight="true" outlineLevel="0" collapsed="false">
      <c r="A661" s="1" t="s">
        <v>276</v>
      </c>
      <c r="B661" s="1" t="s">
        <v>1221</v>
      </c>
      <c r="C661" s="1" t="n">
        <v>57</v>
      </c>
      <c r="E661" s="1" t="s">
        <v>1958</v>
      </c>
      <c r="F661" s="1" t="s">
        <v>1967</v>
      </c>
      <c r="G661" s="1" t="s">
        <v>1498</v>
      </c>
      <c r="H661" s="1" t="s">
        <v>1499</v>
      </c>
      <c r="J661" s="1" t="s">
        <v>1968</v>
      </c>
      <c r="K661" s="1" t="n">
        <f aca="false">IF(Search!$D$5="",0,IF(AND(OR(Search!$N$5="",ISNUMBER(SEARCH(Search!$N$5,J661))),OR(Search!$N$6="",ISNUMBER(SEARCH(Search!$N$6,J661))),OR(Search!$N$7="",ISNUMBER(SEARCH(Search!$N$7,J661))),OR(Search!$N$8="",ISNUMBER(SEARCH(Search!$N$8,J661)))),1,0))</f>
        <v>0</v>
      </c>
      <c r="L661" s="1" t="n">
        <f aca="false">L660+K661</f>
        <v>0</v>
      </c>
    </row>
    <row r="662" customFormat="false" ht="15" hidden="false" customHeight="true" outlineLevel="0" collapsed="false">
      <c r="A662" s="1" t="s">
        <v>276</v>
      </c>
      <c r="B662" s="1" t="s">
        <v>1221</v>
      </c>
      <c r="C662" s="1" t="n">
        <v>58</v>
      </c>
      <c r="E662" s="1" t="s">
        <v>1958</v>
      </c>
      <c r="F662" s="1" t="s">
        <v>1904</v>
      </c>
      <c r="G662" s="1" t="s">
        <v>1969</v>
      </c>
      <c r="H662" s="1" t="s">
        <v>1970</v>
      </c>
      <c r="J662" s="1" t="s">
        <v>1971</v>
      </c>
      <c r="K662" s="1" t="n">
        <f aca="false">IF(Search!$D$5="",0,IF(AND(OR(Search!$N$5="",ISNUMBER(SEARCH(Search!$N$5,J662))),OR(Search!$N$6="",ISNUMBER(SEARCH(Search!$N$6,J662))),OR(Search!$N$7="",ISNUMBER(SEARCH(Search!$N$7,J662))),OR(Search!$N$8="",ISNUMBER(SEARCH(Search!$N$8,J662)))),1,0))</f>
        <v>0</v>
      </c>
      <c r="L662" s="1" t="n">
        <f aca="false">L661+K662</f>
        <v>0</v>
      </c>
    </row>
    <row r="663" customFormat="false" ht="15" hidden="false" customHeight="true" outlineLevel="0" collapsed="false">
      <c r="A663" s="1" t="s">
        <v>276</v>
      </c>
      <c r="B663" s="1" t="s">
        <v>1221</v>
      </c>
      <c r="C663" s="1" t="n">
        <v>59</v>
      </c>
      <c r="E663" s="1" t="s">
        <v>1958</v>
      </c>
      <c r="F663" s="1" t="s">
        <v>1929</v>
      </c>
      <c r="G663" s="1" t="s">
        <v>1972</v>
      </c>
      <c r="H663" s="1" t="s">
        <v>1973</v>
      </c>
      <c r="J663" s="1" t="s">
        <v>1974</v>
      </c>
      <c r="K663" s="1" t="n">
        <f aca="false">IF(Search!$D$5="",0,IF(AND(OR(Search!$N$5="",ISNUMBER(SEARCH(Search!$N$5,J663))),OR(Search!$N$6="",ISNUMBER(SEARCH(Search!$N$6,J663))),OR(Search!$N$7="",ISNUMBER(SEARCH(Search!$N$7,J663))),OR(Search!$N$8="",ISNUMBER(SEARCH(Search!$N$8,J663)))),1,0))</f>
        <v>0</v>
      </c>
      <c r="L663" s="1" t="n">
        <f aca="false">L662+K663</f>
        <v>0</v>
      </c>
    </row>
    <row r="664" customFormat="false" ht="15" hidden="false" customHeight="true" outlineLevel="0" collapsed="false">
      <c r="A664" s="1" t="s">
        <v>276</v>
      </c>
      <c r="B664" s="1" t="s">
        <v>1221</v>
      </c>
      <c r="C664" s="1" t="n">
        <v>60</v>
      </c>
      <c r="E664" s="1" t="s">
        <v>1958</v>
      </c>
      <c r="F664" s="1" t="s">
        <v>1975</v>
      </c>
      <c r="G664" s="1" t="s">
        <v>1502</v>
      </c>
      <c r="H664" s="1" t="s">
        <v>1503</v>
      </c>
      <c r="J664" s="1" t="s">
        <v>1976</v>
      </c>
      <c r="K664" s="1" t="n">
        <f aca="false">IF(Search!$D$5="",0,IF(AND(OR(Search!$N$5="",ISNUMBER(SEARCH(Search!$N$5,J664))),OR(Search!$N$6="",ISNUMBER(SEARCH(Search!$N$6,J664))),OR(Search!$N$7="",ISNUMBER(SEARCH(Search!$N$7,J664))),OR(Search!$N$8="",ISNUMBER(SEARCH(Search!$N$8,J664)))),1,0))</f>
        <v>0</v>
      </c>
      <c r="L664" s="1" t="n">
        <f aca="false">L663+K664</f>
        <v>0</v>
      </c>
    </row>
    <row r="665" customFormat="false" ht="15" hidden="false" customHeight="true" outlineLevel="0" collapsed="false">
      <c r="A665" s="1" t="s">
        <v>276</v>
      </c>
      <c r="B665" s="1" t="s">
        <v>1221</v>
      </c>
      <c r="C665" s="1" t="n">
        <v>61</v>
      </c>
      <c r="E665" s="1" t="s">
        <v>1977</v>
      </c>
      <c r="F665" s="1" t="s">
        <v>1834</v>
      </c>
      <c r="G665" s="1" t="s">
        <v>1321</v>
      </c>
      <c r="H665" s="1" t="s">
        <v>1978</v>
      </c>
      <c r="J665" s="1" t="s">
        <v>1979</v>
      </c>
      <c r="K665" s="1" t="n">
        <f aca="false">IF(Search!$D$5="",0,IF(AND(OR(Search!$N$5="",ISNUMBER(SEARCH(Search!$N$5,J665))),OR(Search!$N$6="",ISNUMBER(SEARCH(Search!$N$6,J665))),OR(Search!$N$7="",ISNUMBER(SEARCH(Search!$N$7,J665))),OR(Search!$N$8="",ISNUMBER(SEARCH(Search!$N$8,J665)))),1,0))</f>
        <v>0</v>
      </c>
      <c r="L665" s="1" t="n">
        <f aca="false">L664+K665</f>
        <v>0</v>
      </c>
    </row>
    <row r="666" customFormat="false" ht="15" hidden="false" customHeight="true" outlineLevel="0" collapsed="false">
      <c r="A666" s="1" t="s">
        <v>276</v>
      </c>
      <c r="B666" s="1" t="s">
        <v>1221</v>
      </c>
      <c r="C666" s="1" t="n">
        <v>62</v>
      </c>
      <c r="E666" s="1" t="s">
        <v>1977</v>
      </c>
      <c r="F666" s="1" t="s">
        <v>1838</v>
      </c>
      <c r="G666" s="1" t="s">
        <v>1980</v>
      </c>
      <c r="H666" s="1" t="s">
        <v>1981</v>
      </c>
      <c r="J666" s="1" t="s">
        <v>1982</v>
      </c>
      <c r="K666" s="1" t="n">
        <f aca="false">IF(Search!$D$5="",0,IF(AND(OR(Search!$N$5="",ISNUMBER(SEARCH(Search!$N$5,J666))),OR(Search!$N$6="",ISNUMBER(SEARCH(Search!$N$6,J666))),OR(Search!$N$7="",ISNUMBER(SEARCH(Search!$N$7,J666))),OR(Search!$N$8="",ISNUMBER(SEARCH(Search!$N$8,J666)))),1,0))</f>
        <v>0</v>
      </c>
      <c r="L666" s="1" t="n">
        <f aca="false">L665+K666</f>
        <v>0</v>
      </c>
    </row>
    <row r="667" customFormat="false" ht="15" hidden="false" customHeight="true" outlineLevel="0" collapsed="false">
      <c r="A667" s="1" t="s">
        <v>276</v>
      </c>
      <c r="B667" s="1" t="s">
        <v>1221</v>
      </c>
      <c r="C667" s="1" t="n">
        <v>63</v>
      </c>
      <c r="E667" s="1" t="s">
        <v>1977</v>
      </c>
      <c r="F667" s="1" t="s">
        <v>1943</v>
      </c>
      <c r="G667" s="1" t="s">
        <v>1983</v>
      </c>
      <c r="H667" s="1" t="s">
        <v>1984</v>
      </c>
      <c r="J667" s="1" t="s">
        <v>1985</v>
      </c>
      <c r="K667" s="1" t="n">
        <f aca="false">IF(Search!$D$5="",0,IF(AND(OR(Search!$N$5="",ISNUMBER(SEARCH(Search!$N$5,J667))),OR(Search!$N$6="",ISNUMBER(SEARCH(Search!$N$6,J667))),OR(Search!$N$7="",ISNUMBER(SEARCH(Search!$N$7,J667))),OR(Search!$N$8="",ISNUMBER(SEARCH(Search!$N$8,J667)))),1,0))</f>
        <v>0</v>
      </c>
      <c r="L667" s="1" t="n">
        <f aca="false">L666+K667</f>
        <v>0</v>
      </c>
    </row>
    <row r="668" customFormat="false" ht="15" hidden="false" customHeight="true" outlineLevel="0" collapsed="false">
      <c r="A668" s="1" t="s">
        <v>276</v>
      </c>
      <c r="B668" s="1" t="s">
        <v>1221</v>
      </c>
      <c r="C668" s="1" t="n">
        <v>64</v>
      </c>
      <c r="E668" s="1" t="s">
        <v>1977</v>
      </c>
      <c r="F668" s="1" t="s">
        <v>1904</v>
      </c>
      <c r="G668" s="1" t="s">
        <v>1986</v>
      </c>
      <c r="H668" s="1" t="s">
        <v>1987</v>
      </c>
      <c r="J668" s="1" t="s">
        <v>1988</v>
      </c>
      <c r="K668" s="1" t="n">
        <f aca="false">IF(Search!$D$5="",0,IF(AND(OR(Search!$N$5="",ISNUMBER(SEARCH(Search!$N$5,J668))),OR(Search!$N$6="",ISNUMBER(SEARCH(Search!$N$6,J668))),OR(Search!$N$7="",ISNUMBER(SEARCH(Search!$N$7,J668))),OR(Search!$N$8="",ISNUMBER(SEARCH(Search!$N$8,J668)))),1,0))</f>
        <v>0</v>
      </c>
      <c r="L668" s="1" t="n">
        <f aca="false">L667+K668</f>
        <v>0</v>
      </c>
    </row>
    <row r="669" customFormat="false" ht="15" hidden="false" customHeight="true" outlineLevel="0" collapsed="false">
      <c r="A669" s="1" t="s">
        <v>276</v>
      </c>
      <c r="B669" s="1" t="s">
        <v>1221</v>
      </c>
      <c r="C669" s="1" t="n">
        <v>65</v>
      </c>
      <c r="E669" s="1" t="s">
        <v>1977</v>
      </c>
      <c r="F669" s="1" t="s">
        <v>1975</v>
      </c>
      <c r="G669" s="1" t="s">
        <v>1989</v>
      </c>
      <c r="H669" s="1" t="s">
        <v>1990</v>
      </c>
      <c r="J669" s="1" t="s">
        <v>1991</v>
      </c>
      <c r="K669" s="1" t="n">
        <f aca="false">IF(Search!$D$5="",0,IF(AND(OR(Search!$N$5="",ISNUMBER(SEARCH(Search!$N$5,J669))),OR(Search!$N$6="",ISNUMBER(SEARCH(Search!$N$6,J669))),OR(Search!$N$7="",ISNUMBER(SEARCH(Search!$N$7,J669))),OR(Search!$N$8="",ISNUMBER(SEARCH(Search!$N$8,J669)))),1,0))</f>
        <v>0</v>
      </c>
      <c r="L669" s="1" t="n">
        <f aca="false">L668+K669</f>
        <v>0</v>
      </c>
    </row>
    <row r="670" customFormat="false" ht="15" hidden="false" customHeight="true" outlineLevel="0" collapsed="false">
      <c r="A670" s="1" t="s">
        <v>276</v>
      </c>
      <c r="B670" s="1" t="s">
        <v>1221</v>
      </c>
      <c r="C670" s="1" t="n">
        <v>66</v>
      </c>
      <c r="E670" s="1" t="s">
        <v>1992</v>
      </c>
      <c r="F670" s="1" t="s">
        <v>1834</v>
      </c>
      <c r="G670" s="1" t="s">
        <v>1993</v>
      </c>
      <c r="H670" s="1" t="s">
        <v>1994</v>
      </c>
      <c r="J670" s="1" t="s">
        <v>1995</v>
      </c>
      <c r="K670" s="1" t="n">
        <f aca="false">IF(Search!$D$5="",0,IF(AND(OR(Search!$N$5="",ISNUMBER(SEARCH(Search!$N$5,J670))),OR(Search!$N$6="",ISNUMBER(SEARCH(Search!$N$6,J670))),OR(Search!$N$7="",ISNUMBER(SEARCH(Search!$N$7,J670))),OR(Search!$N$8="",ISNUMBER(SEARCH(Search!$N$8,J670)))),1,0))</f>
        <v>0</v>
      </c>
      <c r="L670" s="1" t="n">
        <f aca="false">L669+K670</f>
        <v>0</v>
      </c>
    </row>
    <row r="671" customFormat="false" ht="15" hidden="false" customHeight="true" outlineLevel="0" collapsed="false">
      <c r="A671" s="1" t="s">
        <v>276</v>
      </c>
      <c r="B671" s="1" t="s">
        <v>1221</v>
      </c>
      <c r="C671" s="1" t="n">
        <v>67</v>
      </c>
      <c r="E671" s="1" t="s">
        <v>1992</v>
      </c>
      <c r="F671" s="1" t="s">
        <v>1919</v>
      </c>
      <c r="G671" s="1" t="s">
        <v>1996</v>
      </c>
      <c r="H671" s="1" t="s">
        <v>1997</v>
      </c>
      <c r="J671" s="1" t="s">
        <v>1998</v>
      </c>
      <c r="K671" s="1" t="n">
        <f aca="false">IF(Search!$D$5="",0,IF(AND(OR(Search!$N$5="",ISNUMBER(SEARCH(Search!$N$5,J671))),OR(Search!$N$6="",ISNUMBER(SEARCH(Search!$N$6,J671))),OR(Search!$N$7="",ISNUMBER(SEARCH(Search!$N$7,J671))),OR(Search!$N$8="",ISNUMBER(SEARCH(Search!$N$8,J671)))),1,0))</f>
        <v>0</v>
      </c>
      <c r="L671" s="1" t="n">
        <f aca="false">L670+K671</f>
        <v>0</v>
      </c>
    </row>
    <row r="672" customFormat="false" ht="15" hidden="false" customHeight="true" outlineLevel="0" collapsed="false">
      <c r="A672" s="1" t="s">
        <v>276</v>
      </c>
      <c r="B672" s="1" t="s">
        <v>1221</v>
      </c>
      <c r="C672" s="1" t="n">
        <v>68</v>
      </c>
      <c r="E672" s="1" t="s">
        <v>1992</v>
      </c>
      <c r="F672" s="1" t="s">
        <v>1838</v>
      </c>
      <c r="G672" s="1" t="s">
        <v>1999</v>
      </c>
      <c r="H672" s="1" t="s">
        <v>2000</v>
      </c>
      <c r="J672" s="1" t="s">
        <v>2001</v>
      </c>
      <c r="K672" s="1" t="n">
        <f aca="false">IF(Search!$D$5="",0,IF(AND(OR(Search!$N$5="",ISNUMBER(SEARCH(Search!$N$5,J672))),OR(Search!$N$6="",ISNUMBER(SEARCH(Search!$N$6,J672))),OR(Search!$N$7="",ISNUMBER(SEARCH(Search!$N$7,J672))),OR(Search!$N$8="",ISNUMBER(SEARCH(Search!$N$8,J672)))),1,0))</f>
        <v>0</v>
      </c>
      <c r="L672" s="1" t="n">
        <f aca="false">L671+K672</f>
        <v>0</v>
      </c>
    </row>
    <row r="673" customFormat="false" ht="15" hidden="false" customHeight="true" outlineLevel="0" collapsed="false">
      <c r="A673" s="1" t="s">
        <v>276</v>
      </c>
      <c r="B673" s="1" t="s">
        <v>1221</v>
      </c>
      <c r="C673" s="1" t="n">
        <v>69</v>
      </c>
      <c r="E673" s="1" t="s">
        <v>1992</v>
      </c>
      <c r="F673" s="1" t="s">
        <v>1943</v>
      </c>
      <c r="G673" s="1" t="s">
        <v>2002</v>
      </c>
      <c r="H673" s="1" t="s">
        <v>2003</v>
      </c>
      <c r="J673" s="1" t="s">
        <v>2004</v>
      </c>
      <c r="K673" s="1" t="n">
        <f aca="false">IF(Search!$D$5="",0,IF(AND(OR(Search!$N$5="",ISNUMBER(SEARCH(Search!$N$5,J673))),OR(Search!$N$6="",ISNUMBER(SEARCH(Search!$N$6,J673))),OR(Search!$N$7="",ISNUMBER(SEARCH(Search!$N$7,J673))),OR(Search!$N$8="",ISNUMBER(SEARCH(Search!$N$8,J673)))),1,0))</f>
        <v>0</v>
      </c>
      <c r="L673" s="1" t="n">
        <f aca="false">L672+K673</f>
        <v>0</v>
      </c>
    </row>
    <row r="674" customFormat="false" ht="15" hidden="false" customHeight="true" outlineLevel="0" collapsed="false">
      <c r="A674" s="1" t="s">
        <v>276</v>
      </c>
      <c r="B674" s="1" t="s">
        <v>1221</v>
      </c>
      <c r="C674" s="1" t="n">
        <v>70</v>
      </c>
      <c r="E674" s="1" t="s">
        <v>1992</v>
      </c>
      <c r="F674" s="1" t="s">
        <v>1904</v>
      </c>
      <c r="G674" s="1" t="s">
        <v>2005</v>
      </c>
      <c r="H674" s="1" t="s">
        <v>2006</v>
      </c>
      <c r="J674" s="1" t="s">
        <v>2007</v>
      </c>
      <c r="K674" s="1" t="n">
        <f aca="false">IF(Search!$D$5="",0,IF(AND(OR(Search!$N$5="",ISNUMBER(SEARCH(Search!$N$5,J674))),OR(Search!$N$6="",ISNUMBER(SEARCH(Search!$N$6,J674))),OR(Search!$N$7="",ISNUMBER(SEARCH(Search!$N$7,J674))),OR(Search!$N$8="",ISNUMBER(SEARCH(Search!$N$8,J674)))),1,0))</f>
        <v>0</v>
      </c>
      <c r="L674" s="1" t="n">
        <f aca="false">L673+K674</f>
        <v>0</v>
      </c>
    </row>
    <row r="675" customFormat="false" ht="15" hidden="false" customHeight="true" outlineLevel="0" collapsed="false">
      <c r="A675" s="1" t="s">
        <v>276</v>
      </c>
      <c r="B675" s="1" t="s">
        <v>1221</v>
      </c>
      <c r="C675" s="1" t="n">
        <v>71</v>
      </c>
      <c r="E675" s="1" t="s">
        <v>1992</v>
      </c>
      <c r="F675" s="1" t="s">
        <v>2008</v>
      </c>
      <c r="G675" s="1" t="s">
        <v>2009</v>
      </c>
      <c r="H675" s="1" t="s">
        <v>2010</v>
      </c>
      <c r="J675" s="1" t="s">
        <v>2011</v>
      </c>
      <c r="K675" s="1" t="n">
        <f aca="false">IF(Search!$D$5="",0,IF(AND(OR(Search!$N$5="",ISNUMBER(SEARCH(Search!$N$5,J675))),OR(Search!$N$6="",ISNUMBER(SEARCH(Search!$N$6,J675))),OR(Search!$N$7="",ISNUMBER(SEARCH(Search!$N$7,J675))),OR(Search!$N$8="",ISNUMBER(SEARCH(Search!$N$8,J675)))),1,0))</f>
        <v>0</v>
      </c>
      <c r="L675" s="1" t="n">
        <f aca="false">L674+K675</f>
        <v>0</v>
      </c>
    </row>
    <row r="676" customFormat="false" ht="15" hidden="false" customHeight="true" outlineLevel="0" collapsed="false">
      <c r="A676" s="1" t="s">
        <v>276</v>
      </c>
      <c r="B676" s="1" t="s">
        <v>1221</v>
      </c>
      <c r="C676" s="1" t="n">
        <v>72</v>
      </c>
      <c r="E676" s="1" t="s">
        <v>1992</v>
      </c>
      <c r="F676" s="1" t="s">
        <v>1929</v>
      </c>
      <c r="G676" s="1" t="s">
        <v>2012</v>
      </c>
      <c r="H676" s="1" t="s">
        <v>2013</v>
      </c>
      <c r="J676" s="1" t="s">
        <v>2014</v>
      </c>
      <c r="K676" s="1" t="n">
        <f aca="false">IF(Search!$D$5="",0,IF(AND(OR(Search!$N$5="",ISNUMBER(SEARCH(Search!$N$5,J676))),OR(Search!$N$6="",ISNUMBER(SEARCH(Search!$N$6,J676))),OR(Search!$N$7="",ISNUMBER(SEARCH(Search!$N$7,J676))),OR(Search!$N$8="",ISNUMBER(SEARCH(Search!$N$8,J676)))),1,0))</f>
        <v>0</v>
      </c>
      <c r="L676" s="1" t="n">
        <f aca="false">L675+K676</f>
        <v>0</v>
      </c>
    </row>
    <row r="677" customFormat="false" ht="15" hidden="false" customHeight="true" outlineLevel="0" collapsed="false">
      <c r="A677" s="1" t="s">
        <v>276</v>
      </c>
      <c r="B677" s="1" t="s">
        <v>1221</v>
      </c>
      <c r="C677" s="1" t="n">
        <v>73</v>
      </c>
      <c r="E677" s="1" t="s">
        <v>1992</v>
      </c>
      <c r="F677" s="1" t="s">
        <v>627</v>
      </c>
      <c r="G677" s="1" t="s">
        <v>2015</v>
      </c>
      <c r="H677" s="1" t="s">
        <v>2016</v>
      </c>
      <c r="J677" s="1" t="s">
        <v>2017</v>
      </c>
      <c r="K677" s="1" t="n">
        <f aca="false">IF(Search!$D$5="",0,IF(AND(OR(Search!$N$5="",ISNUMBER(SEARCH(Search!$N$5,J677))),OR(Search!$N$6="",ISNUMBER(SEARCH(Search!$N$6,J677))),OR(Search!$N$7="",ISNUMBER(SEARCH(Search!$N$7,J677))),OR(Search!$N$8="",ISNUMBER(SEARCH(Search!$N$8,J677)))),1,0))</f>
        <v>0</v>
      </c>
      <c r="L677" s="1" t="n">
        <f aca="false">L676+K677</f>
        <v>0</v>
      </c>
    </row>
    <row r="678" customFormat="false" ht="15" hidden="false" customHeight="true" outlineLevel="0" collapsed="false">
      <c r="A678" s="1" t="s">
        <v>276</v>
      </c>
      <c r="B678" s="1" t="s">
        <v>1221</v>
      </c>
      <c r="C678" s="1" t="n">
        <v>74</v>
      </c>
      <c r="E678" s="1" t="s">
        <v>2018</v>
      </c>
      <c r="F678" s="1" t="s">
        <v>1838</v>
      </c>
      <c r="G678" s="1" t="s">
        <v>2019</v>
      </c>
      <c r="H678" s="1" t="s">
        <v>2020</v>
      </c>
      <c r="J678" s="1" t="s">
        <v>2021</v>
      </c>
      <c r="K678" s="1" t="n">
        <f aca="false">IF(Search!$D$5="",0,IF(AND(OR(Search!$N$5="",ISNUMBER(SEARCH(Search!$N$5,J678))),OR(Search!$N$6="",ISNUMBER(SEARCH(Search!$N$6,J678))),OR(Search!$N$7="",ISNUMBER(SEARCH(Search!$N$7,J678))),OR(Search!$N$8="",ISNUMBER(SEARCH(Search!$N$8,J678)))),1,0))</f>
        <v>0</v>
      </c>
      <c r="L678" s="1" t="n">
        <f aca="false">L677+K678</f>
        <v>0</v>
      </c>
    </row>
    <row r="679" customFormat="false" ht="15" hidden="false" customHeight="true" outlineLevel="0" collapsed="false">
      <c r="A679" s="1" t="s">
        <v>276</v>
      </c>
      <c r="B679" s="1" t="s">
        <v>1221</v>
      </c>
      <c r="C679" s="1" t="n">
        <v>75</v>
      </c>
      <c r="E679" s="1" t="s">
        <v>2018</v>
      </c>
      <c r="F679" s="1" t="s">
        <v>1904</v>
      </c>
      <c r="G679" s="1" t="s">
        <v>2022</v>
      </c>
      <c r="H679" s="1" t="s">
        <v>2023</v>
      </c>
      <c r="J679" s="1" t="s">
        <v>2024</v>
      </c>
      <c r="K679" s="1" t="n">
        <f aca="false">IF(Search!$D$5="",0,IF(AND(OR(Search!$N$5="",ISNUMBER(SEARCH(Search!$N$5,J679))),OR(Search!$N$6="",ISNUMBER(SEARCH(Search!$N$6,J679))),OR(Search!$N$7="",ISNUMBER(SEARCH(Search!$N$7,J679))),OR(Search!$N$8="",ISNUMBER(SEARCH(Search!$N$8,J679)))),1,0))</f>
        <v>0</v>
      </c>
      <c r="L679" s="1" t="n">
        <f aca="false">L678+K679</f>
        <v>0</v>
      </c>
    </row>
    <row r="680" customFormat="false" ht="15" hidden="false" customHeight="true" outlineLevel="0" collapsed="false">
      <c r="A680" s="1" t="s">
        <v>276</v>
      </c>
      <c r="B680" s="1" t="s">
        <v>1221</v>
      </c>
      <c r="C680" s="1" t="n">
        <v>76</v>
      </c>
      <c r="E680" s="1" t="s">
        <v>2018</v>
      </c>
      <c r="F680" s="1" t="s">
        <v>1929</v>
      </c>
      <c r="G680" s="1" t="s">
        <v>2025</v>
      </c>
      <c r="H680" s="1" t="s">
        <v>2026</v>
      </c>
      <c r="J680" s="1" t="s">
        <v>2027</v>
      </c>
      <c r="K680" s="1" t="n">
        <f aca="false">IF(Search!$D$5="",0,IF(AND(OR(Search!$N$5="",ISNUMBER(SEARCH(Search!$N$5,J680))),OR(Search!$N$6="",ISNUMBER(SEARCH(Search!$N$6,J680))),OR(Search!$N$7="",ISNUMBER(SEARCH(Search!$N$7,J680))),OR(Search!$N$8="",ISNUMBER(SEARCH(Search!$N$8,J680)))),1,0))</f>
        <v>0</v>
      </c>
      <c r="L680" s="1" t="n">
        <f aca="false">L679+K680</f>
        <v>0</v>
      </c>
    </row>
    <row r="681" customFormat="false" ht="15" hidden="false" customHeight="true" outlineLevel="0" collapsed="false">
      <c r="A681" s="1" t="s">
        <v>276</v>
      </c>
      <c r="B681" s="1" t="s">
        <v>1221</v>
      </c>
      <c r="C681" s="1" t="n">
        <v>77</v>
      </c>
      <c r="E681" s="1" t="s">
        <v>2018</v>
      </c>
      <c r="F681" s="1" t="s">
        <v>627</v>
      </c>
      <c r="G681" s="1" t="s">
        <v>2028</v>
      </c>
      <c r="H681" s="1" t="s">
        <v>2029</v>
      </c>
      <c r="J681" s="1" t="s">
        <v>2030</v>
      </c>
      <c r="K681" s="1" t="n">
        <f aca="false">IF(Search!$D$5="",0,IF(AND(OR(Search!$N$5="",ISNUMBER(SEARCH(Search!$N$5,J681))),OR(Search!$N$6="",ISNUMBER(SEARCH(Search!$N$6,J681))),OR(Search!$N$7="",ISNUMBER(SEARCH(Search!$N$7,J681))),OR(Search!$N$8="",ISNUMBER(SEARCH(Search!$N$8,J681)))),1,0))</f>
        <v>0</v>
      </c>
      <c r="L681" s="1" t="n">
        <f aca="false">L680+K681</f>
        <v>0</v>
      </c>
    </row>
    <row r="682" customFormat="false" ht="15" hidden="false" customHeight="true" outlineLevel="0" collapsed="false">
      <c r="A682" s="1" t="s">
        <v>276</v>
      </c>
      <c r="B682" s="1" t="s">
        <v>1221</v>
      </c>
      <c r="C682" s="1" t="n">
        <v>78</v>
      </c>
      <c r="E682" s="1" t="s">
        <v>2031</v>
      </c>
      <c r="F682" s="1" t="s">
        <v>1838</v>
      </c>
      <c r="G682" s="1" t="s">
        <v>2032</v>
      </c>
      <c r="H682" s="1" t="s">
        <v>2033</v>
      </c>
      <c r="J682" s="1" t="s">
        <v>2034</v>
      </c>
      <c r="K682" s="1" t="n">
        <f aca="false">IF(Search!$D$5="",0,IF(AND(OR(Search!$N$5="",ISNUMBER(SEARCH(Search!$N$5,J682))),OR(Search!$N$6="",ISNUMBER(SEARCH(Search!$N$6,J682))),OR(Search!$N$7="",ISNUMBER(SEARCH(Search!$N$7,J682))),OR(Search!$N$8="",ISNUMBER(SEARCH(Search!$N$8,J682)))),1,0))</f>
        <v>0</v>
      </c>
      <c r="L682" s="1" t="n">
        <f aca="false">L681+K682</f>
        <v>0</v>
      </c>
    </row>
    <row r="683" customFormat="false" ht="15" hidden="false" customHeight="true" outlineLevel="0" collapsed="false">
      <c r="A683" s="1" t="s">
        <v>276</v>
      </c>
      <c r="B683" s="1" t="s">
        <v>1221</v>
      </c>
      <c r="C683" s="1" t="n">
        <v>79</v>
      </c>
      <c r="E683" s="1" t="s">
        <v>2031</v>
      </c>
      <c r="F683" s="1" t="s">
        <v>1943</v>
      </c>
      <c r="G683" s="1" t="s">
        <v>2035</v>
      </c>
      <c r="H683" s="1" t="s">
        <v>2036</v>
      </c>
      <c r="J683" s="1" t="s">
        <v>2037</v>
      </c>
      <c r="K683" s="1" t="n">
        <f aca="false">IF(Search!$D$5="",0,IF(AND(OR(Search!$N$5="",ISNUMBER(SEARCH(Search!$N$5,J683))),OR(Search!$N$6="",ISNUMBER(SEARCH(Search!$N$6,J683))),OR(Search!$N$7="",ISNUMBER(SEARCH(Search!$N$7,J683))),OR(Search!$N$8="",ISNUMBER(SEARCH(Search!$N$8,J683)))),1,0))</f>
        <v>0</v>
      </c>
      <c r="L683" s="1" t="n">
        <f aca="false">L682+K683</f>
        <v>0</v>
      </c>
    </row>
    <row r="684" customFormat="false" ht="15" hidden="false" customHeight="true" outlineLevel="0" collapsed="false">
      <c r="A684" s="1" t="s">
        <v>276</v>
      </c>
      <c r="B684" s="1" t="s">
        <v>1221</v>
      </c>
      <c r="C684" s="1" t="n">
        <v>80</v>
      </c>
      <c r="E684" s="1" t="s">
        <v>2031</v>
      </c>
      <c r="F684" s="1" t="s">
        <v>1904</v>
      </c>
      <c r="G684" s="1" t="s">
        <v>2038</v>
      </c>
      <c r="H684" s="1" t="s">
        <v>2039</v>
      </c>
      <c r="J684" s="1" t="s">
        <v>2040</v>
      </c>
      <c r="K684" s="1" t="n">
        <f aca="false">IF(Search!$D$5="",0,IF(AND(OR(Search!$N$5="",ISNUMBER(SEARCH(Search!$N$5,J684))),OR(Search!$N$6="",ISNUMBER(SEARCH(Search!$N$6,J684))),OR(Search!$N$7="",ISNUMBER(SEARCH(Search!$N$7,J684))),OR(Search!$N$8="",ISNUMBER(SEARCH(Search!$N$8,J684)))),1,0))</f>
        <v>0</v>
      </c>
      <c r="L684" s="1" t="n">
        <f aca="false">L683+K684</f>
        <v>0</v>
      </c>
    </row>
    <row r="685" customFormat="false" ht="15" hidden="false" customHeight="true" outlineLevel="0" collapsed="false">
      <c r="A685" s="1" t="s">
        <v>276</v>
      </c>
      <c r="B685" s="1" t="s">
        <v>1221</v>
      </c>
      <c r="C685" s="1" t="n">
        <v>81</v>
      </c>
      <c r="E685" s="1" t="s">
        <v>2031</v>
      </c>
      <c r="F685" s="1" t="s">
        <v>1929</v>
      </c>
      <c r="G685" s="1" t="s">
        <v>2041</v>
      </c>
      <c r="H685" s="1" t="s">
        <v>2042</v>
      </c>
      <c r="J685" s="1" t="s">
        <v>2043</v>
      </c>
      <c r="K685" s="1" t="n">
        <f aca="false">IF(Search!$D$5="",0,IF(AND(OR(Search!$N$5="",ISNUMBER(SEARCH(Search!$N$5,J685))),OR(Search!$N$6="",ISNUMBER(SEARCH(Search!$N$6,J685))),OR(Search!$N$7="",ISNUMBER(SEARCH(Search!$N$7,J685))),OR(Search!$N$8="",ISNUMBER(SEARCH(Search!$N$8,J685)))),1,0))</f>
        <v>0</v>
      </c>
      <c r="L685" s="1" t="n">
        <f aca="false">L684+K685</f>
        <v>0</v>
      </c>
    </row>
    <row r="686" customFormat="false" ht="15" hidden="false" customHeight="true" outlineLevel="0" collapsed="false">
      <c r="A686" s="1" t="s">
        <v>276</v>
      </c>
      <c r="B686" s="1" t="s">
        <v>1221</v>
      </c>
      <c r="C686" s="1" t="n">
        <v>82</v>
      </c>
      <c r="E686" s="1" t="s">
        <v>2031</v>
      </c>
      <c r="F686" s="1" t="s">
        <v>1975</v>
      </c>
      <c r="G686" s="1" t="s">
        <v>2044</v>
      </c>
      <c r="H686" s="1" t="s">
        <v>2045</v>
      </c>
      <c r="J686" s="1" t="s">
        <v>2046</v>
      </c>
      <c r="K686" s="1" t="n">
        <f aca="false">IF(Search!$D$5="",0,IF(AND(OR(Search!$N$5="",ISNUMBER(SEARCH(Search!$N$5,J686))),OR(Search!$N$6="",ISNUMBER(SEARCH(Search!$N$6,J686))),OR(Search!$N$7="",ISNUMBER(SEARCH(Search!$N$7,J686))),OR(Search!$N$8="",ISNUMBER(SEARCH(Search!$N$8,J686)))),1,0))</f>
        <v>0</v>
      </c>
      <c r="L686" s="1" t="n">
        <f aca="false">L685+K686</f>
        <v>0</v>
      </c>
    </row>
    <row r="687" customFormat="false" ht="15" hidden="false" customHeight="true" outlineLevel="0" collapsed="false">
      <c r="A687" s="1" t="s">
        <v>276</v>
      </c>
      <c r="B687" s="1" t="s">
        <v>1221</v>
      </c>
      <c r="C687" s="1" t="n">
        <v>83</v>
      </c>
      <c r="E687" s="1" t="s">
        <v>2031</v>
      </c>
      <c r="F687" s="1" t="s">
        <v>627</v>
      </c>
      <c r="G687" s="1" t="s">
        <v>2047</v>
      </c>
      <c r="H687" s="1" t="s">
        <v>2048</v>
      </c>
      <c r="J687" s="1" t="s">
        <v>2049</v>
      </c>
      <c r="K687" s="1" t="n">
        <f aca="false">IF(Search!$D$5="",0,IF(AND(OR(Search!$N$5="",ISNUMBER(SEARCH(Search!$N$5,J687))),OR(Search!$N$6="",ISNUMBER(SEARCH(Search!$N$6,J687))),OR(Search!$N$7="",ISNUMBER(SEARCH(Search!$N$7,J687))),OR(Search!$N$8="",ISNUMBER(SEARCH(Search!$N$8,J687)))),1,0))</f>
        <v>0</v>
      </c>
      <c r="L687" s="1" t="n">
        <f aca="false">L686+K687</f>
        <v>0</v>
      </c>
    </row>
    <row r="688" customFormat="false" ht="15" hidden="false" customHeight="true" outlineLevel="0" collapsed="false">
      <c r="A688" s="1" t="s">
        <v>276</v>
      </c>
      <c r="B688" s="1" t="s">
        <v>1221</v>
      </c>
      <c r="C688" s="1" t="n">
        <v>84</v>
      </c>
      <c r="E688" s="1" t="s">
        <v>2031</v>
      </c>
      <c r="F688" s="1" t="s">
        <v>2015</v>
      </c>
      <c r="G688" s="1" t="s">
        <v>588</v>
      </c>
      <c r="H688" s="1" t="s">
        <v>2050</v>
      </c>
      <c r="J688" s="1" t="s">
        <v>2051</v>
      </c>
      <c r="K688" s="1" t="n">
        <f aca="false">IF(Search!$D$5="",0,IF(AND(OR(Search!$N$5="",ISNUMBER(SEARCH(Search!$N$5,J688))),OR(Search!$N$6="",ISNUMBER(SEARCH(Search!$N$6,J688))),OR(Search!$N$7="",ISNUMBER(SEARCH(Search!$N$7,J688))),OR(Search!$N$8="",ISNUMBER(SEARCH(Search!$N$8,J688)))),1,0))</f>
        <v>0</v>
      </c>
      <c r="L688" s="1" t="n">
        <f aca="false">L687+K688</f>
        <v>0</v>
      </c>
    </row>
    <row r="689" customFormat="false" ht="15" hidden="false" customHeight="true" outlineLevel="0" collapsed="false">
      <c r="A689" s="1" t="s">
        <v>276</v>
      </c>
      <c r="B689" s="1" t="s">
        <v>1221</v>
      </c>
      <c r="C689" s="1" t="n">
        <v>85</v>
      </c>
      <c r="E689" s="1" t="s">
        <v>2052</v>
      </c>
      <c r="F689" s="1" t="s">
        <v>1838</v>
      </c>
      <c r="G689" s="1" t="s">
        <v>2053</v>
      </c>
      <c r="H689" s="1" t="s">
        <v>2054</v>
      </c>
      <c r="J689" s="1" t="s">
        <v>2055</v>
      </c>
      <c r="K689" s="1" t="n">
        <f aca="false">IF(Search!$D$5="",0,IF(AND(OR(Search!$N$5="",ISNUMBER(SEARCH(Search!$N$5,J689))),OR(Search!$N$6="",ISNUMBER(SEARCH(Search!$N$6,J689))),OR(Search!$N$7="",ISNUMBER(SEARCH(Search!$N$7,J689))),OR(Search!$N$8="",ISNUMBER(SEARCH(Search!$N$8,J689)))),1,0))</f>
        <v>0</v>
      </c>
      <c r="L689" s="1" t="n">
        <f aca="false">L688+K689</f>
        <v>0</v>
      </c>
    </row>
    <row r="690" customFormat="false" ht="15" hidden="false" customHeight="true" outlineLevel="0" collapsed="false">
      <c r="A690" s="1" t="s">
        <v>276</v>
      </c>
      <c r="B690" s="1" t="s">
        <v>1221</v>
      </c>
      <c r="C690" s="1" t="n">
        <v>86</v>
      </c>
      <c r="E690" s="1" t="s">
        <v>2052</v>
      </c>
      <c r="F690" s="1" t="s">
        <v>1943</v>
      </c>
      <c r="G690" s="1" t="s">
        <v>2025</v>
      </c>
      <c r="H690" s="1" t="s">
        <v>2026</v>
      </c>
      <c r="J690" s="1" t="s">
        <v>2056</v>
      </c>
      <c r="K690" s="1" t="n">
        <f aca="false">IF(Search!$D$5="",0,IF(AND(OR(Search!$N$5="",ISNUMBER(SEARCH(Search!$N$5,J690))),OR(Search!$N$6="",ISNUMBER(SEARCH(Search!$N$6,J690))),OR(Search!$N$7="",ISNUMBER(SEARCH(Search!$N$7,J690))),OR(Search!$N$8="",ISNUMBER(SEARCH(Search!$N$8,J690)))),1,0))</f>
        <v>0</v>
      </c>
      <c r="L690" s="1" t="n">
        <f aca="false">L689+K690</f>
        <v>0</v>
      </c>
    </row>
    <row r="691" customFormat="false" ht="15" hidden="false" customHeight="true" outlineLevel="0" collapsed="false">
      <c r="A691" s="1" t="s">
        <v>276</v>
      </c>
      <c r="B691" s="1" t="s">
        <v>1221</v>
      </c>
      <c r="C691" s="1" t="n">
        <v>87</v>
      </c>
      <c r="E691" s="1" t="s">
        <v>2052</v>
      </c>
      <c r="F691" s="1" t="s">
        <v>1904</v>
      </c>
      <c r="G691" s="1" t="s">
        <v>2041</v>
      </c>
      <c r="H691" s="1" t="s">
        <v>2042</v>
      </c>
      <c r="J691" s="1" t="s">
        <v>2057</v>
      </c>
      <c r="K691" s="1" t="n">
        <f aca="false">IF(Search!$D$5="",0,IF(AND(OR(Search!$N$5="",ISNUMBER(SEARCH(Search!$N$5,J691))),OR(Search!$N$6="",ISNUMBER(SEARCH(Search!$N$6,J691))),OR(Search!$N$7="",ISNUMBER(SEARCH(Search!$N$7,J691))),OR(Search!$N$8="",ISNUMBER(SEARCH(Search!$N$8,J691)))),1,0))</f>
        <v>0</v>
      </c>
      <c r="L691" s="1" t="n">
        <f aca="false">L690+K691</f>
        <v>0</v>
      </c>
    </row>
    <row r="692" customFormat="false" ht="15" hidden="false" customHeight="true" outlineLevel="0" collapsed="false">
      <c r="A692" s="1" t="s">
        <v>276</v>
      </c>
      <c r="B692" s="1" t="s">
        <v>1221</v>
      </c>
      <c r="C692" s="1" t="n">
        <v>88</v>
      </c>
      <c r="E692" s="1" t="s">
        <v>2052</v>
      </c>
      <c r="F692" s="1" t="s">
        <v>1929</v>
      </c>
      <c r="G692" s="1" t="s">
        <v>2058</v>
      </c>
      <c r="H692" s="1" t="s">
        <v>2059</v>
      </c>
      <c r="J692" s="1" t="s">
        <v>2060</v>
      </c>
      <c r="K692" s="1" t="n">
        <f aca="false">IF(Search!$D$5="",0,IF(AND(OR(Search!$N$5="",ISNUMBER(SEARCH(Search!$N$5,J692))),OR(Search!$N$6="",ISNUMBER(SEARCH(Search!$N$6,J692))),OR(Search!$N$7="",ISNUMBER(SEARCH(Search!$N$7,J692))),OR(Search!$N$8="",ISNUMBER(SEARCH(Search!$N$8,J692)))),1,0))</f>
        <v>0</v>
      </c>
      <c r="L692" s="1" t="n">
        <f aca="false">L691+K692</f>
        <v>0</v>
      </c>
    </row>
    <row r="693" customFormat="false" ht="15" hidden="false" customHeight="true" outlineLevel="0" collapsed="false">
      <c r="A693" s="1" t="s">
        <v>276</v>
      </c>
      <c r="B693" s="1" t="s">
        <v>1221</v>
      </c>
      <c r="C693" s="1" t="n">
        <v>89</v>
      </c>
      <c r="E693" s="1" t="s">
        <v>2052</v>
      </c>
      <c r="F693" s="1" t="s">
        <v>1975</v>
      </c>
      <c r="G693" s="1" t="s">
        <v>2061</v>
      </c>
      <c r="H693" s="1" t="s">
        <v>2062</v>
      </c>
      <c r="J693" s="1" t="s">
        <v>2063</v>
      </c>
      <c r="K693" s="1" t="n">
        <f aca="false">IF(Search!$D$5="",0,IF(AND(OR(Search!$N$5="",ISNUMBER(SEARCH(Search!$N$5,J693))),OR(Search!$N$6="",ISNUMBER(SEARCH(Search!$N$6,J693))),OR(Search!$N$7="",ISNUMBER(SEARCH(Search!$N$7,J693))),OR(Search!$N$8="",ISNUMBER(SEARCH(Search!$N$8,J693)))),1,0))</f>
        <v>0</v>
      </c>
      <c r="L693" s="1" t="n">
        <f aca="false">L692+K693</f>
        <v>0</v>
      </c>
    </row>
    <row r="694" customFormat="false" ht="15" hidden="false" customHeight="true" outlineLevel="0" collapsed="false">
      <c r="A694" s="1" t="s">
        <v>276</v>
      </c>
      <c r="B694" s="1" t="s">
        <v>1221</v>
      </c>
      <c r="C694" s="1" t="n">
        <v>90</v>
      </c>
      <c r="E694" s="1" t="s">
        <v>2052</v>
      </c>
      <c r="F694" s="1" t="s">
        <v>627</v>
      </c>
      <c r="G694" s="1" t="s">
        <v>2064</v>
      </c>
      <c r="H694" s="1" t="s">
        <v>2065</v>
      </c>
      <c r="J694" s="1" t="s">
        <v>2066</v>
      </c>
      <c r="K694" s="1" t="n">
        <f aca="false">IF(Search!$D$5="",0,IF(AND(OR(Search!$N$5="",ISNUMBER(SEARCH(Search!$N$5,J694))),OR(Search!$N$6="",ISNUMBER(SEARCH(Search!$N$6,J694))),OR(Search!$N$7="",ISNUMBER(SEARCH(Search!$N$7,J694))),OR(Search!$N$8="",ISNUMBER(SEARCH(Search!$N$8,J694)))),1,0))</f>
        <v>0</v>
      </c>
      <c r="L694" s="1" t="n">
        <f aca="false">L693+K694</f>
        <v>0</v>
      </c>
    </row>
    <row r="695" customFormat="false" ht="15" hidden="false" customHeight="true" outlineLevel="0" collapsed="false">
      <c r="A695" s="1" t="s">
        <v>276</v>
      </c>
      <c r="B695" s="1" t="s">
        <v>1221</v>
      </c>
      <c r="C695" s="1" t="n">
        <v>91</v>
      </c>
      <c r="E695" s="1" t="s">
        <v>2052</v>
      </c>
      <c r="F695" s="1" t="s">
        <v>2015</v>
      </c>
      <c r="G695" s="1" t="s">
        <v>2067</v>
      </c>
      <c r="H695" s="1" t="s">
        <v>2068</v>
      </c>
      <c r="J695" s="1" t="s">
        <v>2069</v>
      </c>
      <c r="K695" s="1" t="n">
        <f aca="false">IF(Search!$D$5="",0,IF(AND(OR(Search!$N$5="",ISNUMBER(SEARCH(Search!$N$5,J695))),OR(Search!$N$6="",ISNUMBER(SEARCH(Search!$N$6,J695))),OR(Search!$N$7="",ISNUMBER(SEARCH(Search!$N$7,J695))),OR(Search!$N$8="",ISNUMBER(SEARCH(Search!$N$8,J695)))),1,0))</f>
        <v>0</v>
      </c>
      <c r="L695" s="1" t="n">
        <f aca="false">L694+K695</f>
        <v>0</v>
      </c>
    </row>
    <row r="696" customFormat="false" ht="15" hidden="false" customHeight="true" outlineLevel="0" collapsed="false">
      <c r="A696" s="1" t="s">
        <v>276</v>
      </c>
      <c r="B696" s="1" t="s">
        <v>1221</v>
      </c>
      <c r="C696" s="1" t="n">
        <v>92</v>
      </c>
      <c r="E696" s="1" t="s">
        <v>2052</v>
      </c>
      <c r="F696" s="1" t="s">
        <v>2061</v>
      </c>
      <c r="G696" s="1" t="s">
        <v>2070</v>
      </c>
      <c r="H696" s="1" t="s">
        <v>2071</v>
      </c>
      <c r="J696" s="1" t="s">
        <v>2072</v>
      </c>
      <c r="K696" s="1" t="n">
        <f aca="false">IF(Search!$D$5="",0,IF(AND(OR(Search!$N$5="",ISNUMBER(SEARCH(Search!$N$5,J696))),OR(Search!$N$6="",ISNUMBER(SEARCH(Search!$N$6,J696))),OR(Search!$N$7="",ISNUMBER(SEARCH(Search!$N$7,J696))),OR(Search!$N$8="",ISNUMBER(SEARCH(Search!$N$8,J696)))),1,0))</f>
        <v>0</v>
      </c>
      <c r="L696" s="1" t="n">
        <f aca="false">L695+K696</f>
        <v>0</v>
      </c>
    </row>
    <row r="697" customFormat="false" ht="15" hidden="false" customHeight="true" outlineLevel="0" collapsed="false">
      <c r="A697" s="1" t="s">
        <v>276</v>
      </c>
      <c r="B697" s="1" t="s">
        <v>1221</v>
      </c>
      <c r="C697" s="1" t="n">
        <v>93</v>
      </c>
      <c r="E697" s="1" t="s">
        <v>2073</v>
      </c>
      <c r="F697" s="1" t="s">
        <v>1904</v>
      </c>
      <c r="G697" s="1" t="s">
        <v>1741</v>
      </c>
      <c r="H697" s="1" t="s">
        <v>1742</v>
      </c>
      <c r="J697" s="1" t="s">
        <v>2074</v>
      </c>
      <c r="K697" s="1" t="n">
        <f aca="false">IF(Search!$D$5="",0,IF(AND(OR(Search!$N$5="",ISNUMBER(SEARCH(Search!$N$5,J697))),OR(Search!$N$6="",ISNUMBER(SEARCH(Search!$N$6,J697))),OR(Search!$N$7="",ISNUMBER(SEARCH(Search!$N$7,J697))),OR(Search!$N$8="",ISNUMBER(SEARCH(Search!$N$8,J697)))),1,0))</f>
        <v>0</v>
      </c>
      <c r="L697" s="1" t="n">
        <f aca="false">L696+K697</f>
        <v>0</v>
      </c>
    </row>
    <row r="698" customFormat="false" ht="15" hidden="false" customHeight="true" outlineLevel="0" collapsed="false">
      <c r="A698" s="1" t="s">
        <v>276</v>
      </c>
      <c r="B698" s="1" t="s">
        <v>1221</v>
      </c>
      <c r="C698" s="1" t="n">
        <v>94</v>
      </c>
      <c r="E698" s="1" t="s">
        <v>2073</v>
      </c>
      <c r="F698" s="1" t="s">
        <v>1975</v>
      </c>
      <c r="G698" s="1" t="s">
        <v>2075</v>
      </c>
      <c r="H698" s="1" t="s">
        <v>2076</v>
      </c>
      <c r="J698" s="1" t="s">
        <v>2077</v>
      </c>
      <c r="K698" s="1" t="n">
        <f aca="false">IF(Search!$D$5="",0,IF(AND(OR(Search!$N$5="",ISNUMBER(SEARCH(Search!$N$5,J698))),OR(Search!$N$6="",ISNUMBER(SEARCH(Search!$N$6,J698))),OR(Search!$N$7="",ISNUMBER(SEARCH(Search!$N$7,J698))),OR(Search!$N$8="",ISNUMBER(SEARCH(Search!$N$8,J698)))),1,0))</f>
        <v>0</v>
      </c>
      <c r="L698" s="1" t="n">
        <f aca="false">L697+K698</f>
        <v>0</v>
      </c>
    </row>
    <row r="699" customFormat="false" ht="15" hidden="false" customHeight="true" outlineLevel="0" collapsed="false">
      <c r="A699" s="1" t="s">
        <v>276</v>
      </c>
      <c r="B699" s="1" t="s">
        <v>1221</v>
      </c>
      <c r="C699" s="1" t="n">
        <v>95</v>
      </c>
      <c r="E699" s="1" t="s">
        <v>2073</v>
      </c>
      <c r="F699" s="1" t="s">
        <v>627</v>
      </c>
      <c r="G699" s="1" t="s">
        <v>2078</v>
      </c>
      <c r="H699" s="1" t="s">
        <v>2079</v>
      </c>
      <c r="J699" s="1" t="s">
        <v>2080</v>
      </c>
      <c r="K699" s="1" t="n">
        <f aca="false">IF(Search!$D$5="",0,IF(AND(OR(Search!$N$5="",ISNUMBER(SEARCH(Search!$N$5,J699))),OR(Search!$N$6="",ISNUMBER(SEARCH(Search!$N$6,J699))),OR(Search!$N$7="",ISNUMBER(SEARCH(Search!$N$7,J699))),OR(Search!$N$8="",ISNUMBER(SEARCH(Search!$N$8,J699)))),1,0))</f>
        <v>0</v>
      </c>
      <c r="L699" s="1" t="n">
        <f aca="false">L698+K699</f>
        <v>0</v>
      </c>
    </row>
    <row r="700" customFormat="false" ht="15" hidden="false" customHeight="true" outlineLevel="0" collapsed="false">
      <c r="A700" s="1" t="s">
        <v>276</v>
      </c>
      <c r="B700" s="1" t="s">
        <v>1221</v>
      </c>
      <c r="C700" s="1" t="n">
        <v>96</v>
      </c>
      <c r="E700" s="1" t="s">
        <v>2073</v>
      </c>
      <c r="F700" s="1" t="s">
        <v>2081</v>
      </c>
      <c r="G700" s="1" t="s">
        <v>2082</v>
      </c>
      <c r="H700" s="1" t="s">
        <v>2083</v>
      </c>
      <c r="J700" s="1" t="s">
        <v>2084</v>
      </c>
      <c r="K700" s="1" t="n">
        <f aca="false">IF(Search!$D$5="",0,IF(AND(OR(Search!$N$5="",ISNUMBER(SEARCH(Search!$N$5,J700))),OR(Search!$N$6="",ISNUMBER(SEARCH(Search!$N$6,J700))),OR(Search!$N$7="",ISNUMBER(SEARCH(Search!$N$7,J700))),OR(Search!$N$8="",ISNUMBER(SEARCH(Search!$N$8,J700)))),1,0))</f>
        <v>0</v>
      </c>
      <c r="L700" s="1" t="n">
        <f aca="false">L699+K700</f>
        <v>0</v>
      </c>
    </row>
    <row r="701" customFormat="false" ht="15" hidden="false" customHeight="true" outlineLevel="0" collapsed="false">
      <c r="A701" s="1" t="s">
        <v>276</v>
      </c>
      <c r="B701" s="1" t="s">
        <v>1221</v>
      </c>
      <c r="C701" s="1" t="n">
        <v>97</v>
      </c>
      <c r="E701" s="1" t="s">
        <v>2085</v>
      </c>
      <c r="F701" s="1" t="s">
        <v>1904</v>
      </c>
      <c r="G701" s="1" t="s">
        <v>1773</v>
      </c>
      <c r="H701" s="1" t="s">
        <v>1774</v>
      </c>
      <c r="J701" s="1" t="s">
        <v>2086</v>
      </c>
      <c r="K701" s="1" t="n">
        <f aca="false">IF(Search!$D$5="",0,IF(AND(OR(Search!$N$5="",ISNUMBER(SEARCH(Search!$N$5,J701))),OR(Search!$N$6="",ISNUMBER(SEARCH(Search!$N$6,J701))),OR(Search!$N$7="",ISNUMBER(SEARCH(Search!$N$7,J701))),OR(Search!$N$8="",ISNUMBER(SEARCH(Search!$N$8,J701)))),1,0))</f>
        <v>0</v>
      </c>
      <c r="L701" s="1" t="n">
        <f aca="false">L700+K701</f>
        <v>0</v>
      </c>
    </row>
    <row r="702" customFormat="false" ht="15" hidden="false" customHeight="true" outlineLevel="0" collapsed="false">
      <c r="A702" s="1" t="s">
        <v>276</v>
      </c>
      <c r="B702" s="1" t="s">
        <v>1221</v>
      </c>
      <c r="C702" s="1" t="n">
        <v>98</v>
      </c>
      <c r="E702" s="1" t="s">
        <v>2085</v>
      </c>
      <c r="F702" s="1" t="s">
        <v>1975</v>
      </c>
      <c r="G702" s="1" t="s">
        <v>2087</v>
      </c>
      <c r="H702" s="1" t="s">
        <v>2088</v>
      </c>
      <c r="J702" s="1" t="s">
        <v>2089</v>
      </c>
      <c r="K702" s="1" t="n">
        <f aca="false">IF(Search!$D$5="",0,IF(AND(OR(Search!$N$5="",ISNUMBER(SEARCH(Search!$N$5,J702))),OR(Search!$N$6="",ISNUMBER(SEARCH(Search!$N$6,J702))),OR(Search!$N$7="",ISNUMBER(SEARCH(Search!$N$7,J702))),OR(Search!$N$8="",ISNUMBER(SEARCH(Search!$N$8,J702)))),1,0))</f>
        <v>0</v>
      </c>
      <c r="L702" s="1" t="n">
        <f aca="false">L701+K702</f>
        <v>0</v>
      </c>
    </row>
    <row r="703" customFormat="false" ht="15" hidden="false" customHeight="true" outlineLevel="0" collapsed="false">
      <c r="A703" s="1" t="s">
        <v>276</v>
      </c>
      <c r="B703" s="1" t="s">
        <v>1221</v>
      </c>
      <c r="C703" s="1" t="n">
        <v>99</v>
      </c>
      <c r="E703" s="1" t="s">
        <v>2085</v>
      </c>
      <c r="F703" s="1" t="s">
        <v>627</v>
      </c>
      <c r="G703" s="1" t="s">
        <v>2090</v>
      </c>
      <c r="H703" s="1" t="s">
        <v>2091</v>
      </c>
      <c r="J703" s="1" t="s">
        <v>2092</v>
      </c>
      <c r="K703" s="1" t="n">
        <f aca="false">IF(Search!$D$5="",0,IF(AND(OR(Search!$N$5="",ISNUMBER(SEARCH(Search!$N$5,J703))),OR(Search!$N$6="",ISNUMBER(SEARCH(Search!$N$6,J703))),OR(Search!$N$7="",ISNUMBER(SEARCH(Search!$N$7,J703))),OR(Search!$N$8="",ISNUMBER(SEARCH(Search!$N$8,J703)))),1,0))</f>
        <v>0</v>
      </c>
      <c r="L703" s="1" t="n">
        <f aca="false">L702+K703</f>
        <v>0</v>
      </c>
    </row>
    <row r="704" customFormat="false" ht="15" hidden="false" customHeight="true" outlineLevel="0" collapsed="false">
      <c r="A704" s="1" t="s">
        <v>276</v>
      </c>
      <c r="B704" s="1" t="s">
        <v>1221</v>
      </c>
      <c r="C704" s="1" t="n">
        <v>100</v>
      </c>
      <c r="E704" s="1" t="s">
        <v>2085</v>
      </c>
      <c r="F704" s="1" t="s">
        <v>2061</v>
      </c>
      <c r="G704" s="1" t="s">
        <v>2082</v>
      </c>
      <c r="H704" s="1" t="s">
        <v>2083</v>
      </c>
      <c r="J704" s="1" t="s">
        <v>2093</v>
      </c>
      <c r="K704" s="1" t="n">
        <f aca="false">IF(Search!$D$5="",0,IF(AND(OR(Search!$N$5="",ISNUMBER(SEARCH(Search!$N$5,J704))),OR(Search!$N$6="",ISNUMBER(SEARCH(Search!$N$6,J704))),OR(Search!$N$7="",ISNUMBER(SEARCH(Search!$N$7,J704))),OR(Search!$N$8="",ISNUMBER(SEARCH(Search!$N$8,J704)))),1,0))</f>
        <v>0</v>
      </c>
      <c r="L704" s="1" t="n">
        <f aca="false">L703+K704</f>
        <v>0</v>
      </c>
    </row>
    <row r="705" customFormat="false" ht="15" hidden="false" customHeight="true" outlineLevel="0" collapsed="false">
      <c r="A705" s="1" t="s">
        <v>276</v>
      </c>
      <c r="B705" s="1" t="s">
        <v>1221</v>
      </c>
      <c r="C705" s="1" t="n">
        <v>101</v>
      </c>
      <c r="E705" s="1" t="s">
        <v>2094</v>
      </c>
      <c r="F705" s="1" t="s">
        <v>1904</v>
      </c>
      <c r="G705" s="1" t="s">
        <v>2095</v>
      </c>
      <c r="H705" s="1" t="s">
        <v>2096</v>
      </c>
      <c r="J705" s="1" t="s">
        <v>2097</v>
      </c>
      <c r="K705" s="1" t="n">
        <f aca="false">IF(Search!$D$5="",0,IF(AND(OR(Search!$N$5="",ISNUMBER(SEARCH(Search!$N$5,J705))),OR(Search!$N$6="",ISNUMBER(SEARCH(Search!$N$6,J705))),OR(Search!$N$7="",ISNUMBER(SEARCH(Search!$N$7,J705))),OR(Search!$N$8="",ISNUMBER(SEARCH(Search!$N$8,J705)))),1,0))</f>
        <v>0</v>
      </c>
      <c r="L705" s="1" t="n">
        <f aca="false">L704+K705</f>
        <v>0</v>
      </c>
    </row>
    <row r="706" customFormat="false" ht="15" hidden="false" customHeight="true" outlineLevel="0" collapsed="false">
      <c r="A706" s="1" t="s">
        <v>276</v>
      </c>
      <c r="B706" s="1" t="s">
        <v>1221</v>
      </c>
      <c r="C706" s="1" t="n">
        <v>102</v>
      </c>
      <c r="E706" s="1" t="s">
        <v>2094</v>
      </c>
      <c r="F706" s="1" t="s">
        <v>1929</v>
      </c>
      <c r="G706" s="1" t="s">
        <v>2098</v>
      </c>
      <c r="H706" s="1" t="s">
        <v>2099</v>
      </c>
      <c r="J706" s="1" t="s">
        <v>2100</v>
      </c>
      <c r="K706" s="1" t="n">
        <f aca="false">IF(Search!$D$5="",0,IF(AND(OR(Search!$N$5="",ISNUMBER(SEARCH(Search!$N$5,J706))),OR(Search!$N$6="",ISNUMBER(SEARCH(Search!$N$6,J706))),OR(Search!$N$7="",ISNUMBER(SEARCH(Search!$N$7,J706))),OR(Search!$N$8="",ISNUMBER(SEARCH(Search!$N$8,J706)))),1,0))</f>
        <v>0</v>
      </c>
      <c r="L706" s="1" t="n">
        <f aca="false">L705+K706</f>
        <v>0</v>
      </c>
    </row>
    <row r="707" customFormat="false" ht="15" hidden="false" customHeight="true" outlineLevel="0" collapsed="false">
      <c r="A707" s="1" t="s">
        <v>276</v>
      </c>
      <c r="B707" s="1" t="s">
        <v>1221</v>
      </c>
      <c r="C707" s="1" t="n">
        <v>103</v>
      </c>
      <c r="E707" s="1" t="s">
        <v>2094</v>
      </c>
      <c r="F707" s="1" t="s">
        <v>1975</v>
      </c>
      <c r="G707" s="1" t="s">
        <v>2101</v>
      </c>
      <c r="H707" s="1" t="s">
        <v>2102</v>
      </c>
      <c r="J707" s="1" t="s">
        <v>2103</v>
      </c>
      <c r="K707" s="1" t="n">
        <f aca="false">IF(Search!$D$5="",0,IF(AND(OR(Search!$N$5="",ISNUMBER(SEARCH(Search!$N$5,J707))),OR(Search!$N$6="",ISNUMBER(SEARCH(Search!$N$6,J707))),OR(Search!$N$7="",ISNUMBER(SEARCH(Search!$N$7,J707))),OR(Search!$N$8="",ISNUMBER(SEARCH(Search!$N$8,J707)))),1,0))</f>
        <v>0</v>
      </c>
      <c r="L707" s="1" t="n">
        <f aca="false">L706+K707</f>
        <v>0</v>
      </c>
    </row>
    <row r="708" customFormat="false" ht="15" hidden="false" customHeight="true" outlineLevel="0" collapsed="false">
      <c r="A708" s="1" t="s">
        <v>276</v>
      </c>
      <c r="B708" s="1" t="s">
        <v>1221</v>
      </c>
      <c r="C708" s="1" t="n">
        <v>104</v>
      </c>
      <c r="E708" s="1" t="s">
        <v>2094</v>
      </c>
      <c r="F708" s="1" t="s">
        <v>627</v>
      </c>
      <c r="G708" s="1" t="s">
        <v>2104</v>
      </c>
      <c r="H708" s="1" t="s">
        <v>2105</v>
      </c>
      <c r="J708" s="1" t="s">
        <v>2106</v>
      </c>
      <c r="K708" s="1" t="n">
        <f aca="false">IF(Search!$D$5="",0,IF(AND(OR(Search!$N$5="",ISNUMBER(SEARCH(Search!$N$5,J708))),OR(Search!$N$6="",ISNUMBER(SEARCH(Search!$N$6,J708))),OR(Search!$N$7="",ISNUMBER(SEARCH(Search!$N$7,J708))),OR(Search!$N$8="",ISNUMBER(SEARCH(Search!$N$8,J708)))),1,0))</f>
        <v>0</v>
      </c>
      <c r="L708" s="1" t="n">
        <f aca="false">L707+K708</f>
        <v>0</v>
      </c>
    </row>
    <row r="709" customFormat="false" ht="15" hidden="false" customHeight="true" outlineLevel="0" collapsed="false">
      <c r="A709" s="1" t="s">
        <v>276</v>
      </c>
      <c r="B709" s="1" t="s">
        <v>1221</v>
      </c>
      <c r="C709" s="1" t="n">
        <v>105</v>
      </c>
      <c r="E709" s="1" t="s">
        <v>2107</v>
      </c>
      <c r="F709" s="1" t="s">
        <v>1904</v>
      </c>
      <c r="G709" s="1" t="s">
        <v>2047</v>
      </c>
      <c r="H709" s="1" t="s">
        <v>2048</v>
      </c>
      <c r="J709" s="1" t="s">
        <v>2108</v>
      </c>
      <c r="K709" s="1" t="n">
        <f aca="false">IF(Search!$D$5="",0,IF(AND(OR(Search!$N$5="",ISNUMBER(SEARCH(Search!$N$5,J709))),OR(Search!$N$6="",ISNUMBER(SEARCH(Search!$N$6,J709))),OR(Search!$N$7="",ISNUMBER(SEARCH(Search!$N$7,J709))),OR(Search!$N$8="",ISNUMBER(SEARCH(Search!$N$8,J709)))),1,0))</f>
        <v>0</v>
      </c>
      <c r="L709" s="1" t="n">
        <f aca="false">L708+K709</f>
        <v>0</v>
      </c>
    </row>
    <row r="710" customFormat="false" ht="15" hidden="false" customHeight="true" outlineLevel="0" collapsed="false">
      <c r="A710" s="1" t="s">
        <v>276</v>
      </c>
      <c r="B710" s="1" t="s">
        <v>1221</v>
      </c>
      <c r="C710" s="1" t="n">
        <v>106</v>
      </c>
      <c r="E710" s="1" t="s">
        <v>2107</v>
      </c>
      <c r="F710" s="1" t="s">
        <v>1929</v>
      </c>
      <c r="G710" s="1" t="s">
        <v>2109</v>
      </c>
      <c r="H710" s="1" t="s">
        <v>2110</v>
      </c>
      <c r="J710" s="1" t="s">
        <v>2111</v>
      </c>
      <c r="K710" s="1" t="n">
        <f aca="false">IF(Search!$D$5="",0,IF(AND(OR(Search!$N$5="",ISNUMBER(SEARCH(Search!$N$5,J710))),OR(Search!$N$6="",ISNUMBER(SEARCH(Search!$N$6,J710))),OR(Search!$N$7="",ISNUMBER(SEARCH(Search!$N$7,J710))),OR(Search!$N$8="",ISNUMBER(SEARCH(Search!$N$8,J710)))),1,0))</f>
        <v>0</v>
      </c>
      <c r="L710" s="1" t="n">
        <f aca="false">L709+K710</f>
        <v>0</v>
      </c>
    </row>
    <row r="711" customFormat="false" ht="15" hidden="false" customHeight="true" outlineLevel="0" collapsed="false">
      <c r="A711" s="1" t="s">
        <v>276</v>
      </c>
      <c r="B711" s="1" t="s">
        <v>1221</v>
      </c>
      <c r="C711" s="1" t="n">
        <v>107</v>
      </c>
      <c r="E711" s="1" t="s">
        <v>2107</v>
      </c>
      <c r="F711" s="1" t="s">
        <v>1975</v>
      </c>
      <c r="G711" s="1" t="s">
        <v>2112</v>
      </c>
      <c r="H711" s="1" t="s">
        <v>2113</v>
      </c>
      <c r="J711" s="1" t="s">
        <v>2114</v>
      </c>
      <c r="K711" s="1" t="n">
        <f aca="false">IF(Search!$D$5="",0,IF(AND(OR(Search!$N$5="",ISNUMBER(SEARCH(Search!$N$5,J711))),OR(Search!$N$6="",ISNUMBER(SEARCH(Search!$N$6,J711))),OR(Search!$N$7="",ISNUMBER(SEARCH(Search!$N$7,J711))),OR(Search!$N$8="",ISNUMBER(SEARCH(Search!$N$8,J711)))),1,0))</f>
        <v>0</v>
      </c>
      <c r="L711" s="1" t="n">
        <f aca="false">L710+K711</f>
        <v>0</v>
      </c>
    </row>
    <row r="712" customFormat="false" ht="15" hidden="false" customHeight="true" outlineLevel="0" collapsed="false">
      <c r="A712" s="1" t="s">
        <v>276</v>
      </c>
      <c r="B712" s="1" t="s">
        <v>1221</v>
      </c>
      <c r="C712" s="1" t="n">
        <v>108</v>
      </c>
      <c r="E712" s="1" t="s">
        <v>2107</v>
      </c>
      <c r="F712" s="1" t="s">
        <v>2115</v>
      </c>
      <c r="G712" s="1" t="s">
        <v>2116</v>
      </c>
      <c r="H712" s="1" t="s">
        <v>2117</v>
      </c>
      <c r="J712" s="1" t="s">
        <v>2118</v>
      </c>
      <c r="K712" s="1" t="n">
        <f aca="false">IF(Search!$D$5="",0,IF(AND(OR(Search!$N$5="",ISNUMBER(SEARCH(Search!$N$5,J712))),OR(Search!$N$6="",ISNUMBER(SEARCH(Search!$N$6,J712))),OR(Search!$N$7="",ISNUMBER(SEARCH(Search!$N$7,J712))),OR(Search!$N$8="",ISNUMBER(SEARCH(Search!$N$8,J712)))),1,0))</f>
        <v>0</v>
      </c>
      <c r="L712" s="1" t="n">
        <f aca="false">L711+K712</f>
        <v>0</v>
      </c>
    </row>
    <row r="713" customFormat="false" ht="15" hidden="false" customHeight="true" outlineLevel="0" collapsed="false">
      <c r="A713" s="1" t="s">
        <v>276</v>
      </c>
      <c r="B713" s="1" t="s">
        <v>1221</v>
      </c>
      <c r="C713" s="1" t="n">
        <v>109</v>
      </c>
      <c r="E713" s="1" t="s">
        <v>2107</v>
      </c>
      <c r="F713" s="1" t="s">
        <v>627</v>
      </c>
      <c r="G713" s="1" t="s">
        <v>2119</v>
      </c>
      <c r="H713" s="1" t="s">
        <v>2120</v>
      </c>
      <c r="J713" s="1" t="s">
        <v>2121</v>
      </c>
      <c r="K713" s="1" t="n">
        <f aca="false">IF(Search!$D$5="",0,IF(AND(OR(Search!$N$5="",ISNUMBER(SEARCH(Search!$N$5,J713))),OR(Search!$N$6="",ISNUMBER(SEARCH(Search!$N$6,J713))),OR(Search!$N$7="",ISNUMBER(SEARCH(Search!$N$7,J713))),OR(Search!$N$8="",ISNUMBER(SEARCH(Search!$N$8,J713)))),1,0))</f>
        <v>0</v>
      </c>
      <c r="L713" s="1" t="n">
        <f aca="false">L712+K713</f>
        <v>0</v>
      </c>
    </row>
    <row r="714" customFormat="false" ht="15" hidden="false" customHeight="true" outlineLevel="0" collapsed="false">
      <c r="A714" s="1" t="s">
        <v>276</v>
      </c>
      <c r="B714" s="1" t="s">
        <v>1221</v>
      </c>
      <c r="C714" s="1" t="n">
        <v>110</v>
      </c>
      <c r="E714" s="1" t="s">
        <v>2107</v>
      </c>
      <c r="F714" s="1" t="s">
        <v>2061</v>
      </c>
      <c r="G714" s="1" t="s">
        <v>2122</v>
      </c>
      <c r="H714" s="1" t="s">
        <v>2123</v>
      </c>
      <c r="J714" s="1" t="s">
        <v>2124</v>
      </c>
      <c r="K714" s="1" t="n">
        <f aca="false">IF(Search!$D$5="",0,IF(AND(OR(Search!$N$5="",ISNUMBER(SEARCH(Search!$N$5,J714))),OR(Search!$N$6="",ISNUMBER(SEARCH(Search!$N$6,J714))),OR(Search!$N$7="",ISNUMBER(SEARCH(Search!$N$7,J714))),OR(Search!$N$8="",ISNUMBER(SEARCH(Search!$N$8,J714)))),1,0))</f>
        <v>0</v>
      </c>
      <c r="L714" s="1" t="n">
        <f aca="false">L713+K714</f>
        <v>0</v>
      </c>
    </row>
    <row r="715" customFormat="false" ht="15" hidden="false" customHeight="true" outlineLevel="0" collapsed="false">
      <c r="A715" s="1" t="s">
        <v>276</v>
      </c>
      <c r="B715" s="1" t="s">
        <v>1221</v>
      </c>
      <c r="C715" s="1" t="n">
        <v>111</v>
      </c>
      <c r="E715" s="1" t="s">
        <v>2107</v>
      </c>
      <c r="F715" s="1" t="s">
        <v>2081</v>
      </c>
      <c r="G715" s="1" t="s">
        <v>2125</v>
      </c>
      <c r="H715" s="1" t="s">
        <v>2126</v>
      </c>
      <c r="J715" s="1" t="s">
        <v>2127</v>
      </c>
      <c r="K715" s="1" t="n">
        <f aca="false">IF(Search!$D$5="",0,IF(AND(OR(Search!$N$5="",ISNUMBER(SEARCH(Search!$N$5,J715))),OR(Search!$N$6="",ISNUMBER(SEARCH(Search!$N$6,J715))),OR(Search!$N$7="",ISNUMBER(SEARCH(Search!$N$7,J715))),OR(Search!$N$8="",ISNUMBER(SEARCH(Search!$N$8,J715)))),1,0))</f>
        <v>0</v>
      </c>
      <c r="L715" s="1" t="n">
        <f aca="false">L714+K715</f>
        <v>0</v>
      </c>
    </row>
    <row r="716" customFormat="false" ht="15" hidden="false" customHeight="true" outlineLevel="0" collapsed="false">
      <c r="A716" s="1" t="s">
        <v>276</v>
      </c>
      <c r="B716" s="1" t="s">
        <v>1221</v>
      </c>
      <c r="C716" s="1" t="n">
        <v>112</v>
      </c>
      <c r="E716" s="1" t="s">
        <v>2128</v>
      </c>
      <c r="F716" s="1" t="s">
        <v>1975</v>
      </c>
      <c r="G716" s="1" t="s">
        <v>578</v>
      </c>
      <c r="H716" s="1" t="s">
        <v>2129</v>
      </c>
      <c r="J716" s="1" t="s">
        <v>2130</v>
      </c>
      <c r="K716" s="1" t="n">
        <f aca="false">IF(Search!$D$5="",0,IF(AND(OR(Search!$N$5="",ISNUMBER(SEARCH(Search!$N$5,J716))),OR(Search!$N$6="",ISNUMBER(SEARCH(Search!$N$6,J716))),OR(Search!$N$7="",ISNUMBER(SEARCH(Search!$N$7,J716))),OR(Search!$N$8="",ISNUMBER(SEARCH(Search!$N$8,J716)))),1,0))</f>
        <v>0</v>
      </c>
      <c r="L716" s="1" t="n">
        <f aca="false">L715+K716</f>
        <v>0</v>
      </c>
    </row>
    <row r="717" customFormat="false" ht="15" hidden="false" customHeight="true" outlineLevel="0" collapsed="false">
      <c r="A717" s="1" t="s">
        <v>276</v>
      </c>
      <c r="B717" s="1" t="s">
        <v>1221</v>
      </c>
      <c r="C717" s="1" t="n">
        <v>113</v>
      </c>
      <c r="E717" s="1" t="s">
        <v>2128</v>
      </c>
      <c r="F717" s="1" t="s">
        <v>2115</v>
      </c>
      <c r="G717" s="1" t="s">
        <v>1707</v>
      </c>
      <c r="H717" s="1" t="s">
        <v>1708</v>
      </c>
      <c r="J717" s="1" t="s">
        <v>2131</v>
      </c>
      <c r="K717" s="1" t="n">
        <f aca="false">IF(Search!$D$5="",0,IF(AND(OR(Search!$N$5="",ISNUMBER(SEARCH(Search!$N$5,J717))),OR(Search!$N$6="",ISNUMBER(SEARCH(Search!$N$6,J717))),OR(Search!$N$7="",ISNUMBER(SEARCH(Search!$N$7,J717))),OR(Search!$N$8="",ISNUMBER(SEARCH(Search!$N$8,J717)))),1,0))</f>
        <v>0</v>
      </c>
      <c r="L717" s="1" t="n">
        <f aca="false">L716+K717</f>
        <v>0</v>
      </c>
    </row>
    <row r="718" customFormat="false" ht="15" hidden="false" customHeight="true" outlineLevel="0" collapsed="false">
      <c r="A718" s="1" t="s">
        <v>276</v>
      </c>
      <c r="B718" s="1" t="s">
        <v>1221</v>
      </c>
      <c r="C718" s="1" t="n">
        <v>114</v>
      </c>
      <c r="E718" s="1" t="s">
        <v>2128</v>
      </c>
      <c r="F718" s="1" t="s">
        <v>627</v>
      </c>
      <c r="G718" s="1" t="s">
        <v>1938</v>
      </c>
      <c r="H718" s="1" t="s">
        <v>2132</v>
      </c>
      <c r="J718" s="1" t="s">
        <v>2133</v>
      </c>
      <c r="K718" s="1" t="n">
        <f aca="false">IF(Search!$D$5="",0,IF(AND(OR(Search!$N$5="",ISNUMBER(SEARCH(Search!$N$5,J718))),OR(Search!$N$6="",ISNUMBER(SEARCH(Search!$N$6,J718))),OR(Search!$N$7="",ISNUMBER(SEARCH(Search!$N$7,J718))),OR(Search!$N$8="",ISNUMBER(SEARCH(Search!$N$8,J718)))),1,0))</f>
        <v>0</v>
      </c>
      <c r="L718" s="1" t="n">
        <f aca="false">L717+K718</f>
        <v>0</v>
      </c>
    </row>
    <row r="719" customFormat="false" ht="15" hidden="false" customHeight="true" outlineLevel="0" collapsed="false">
      <c r="A719" s="1" t="s">
        <v>276</v>
      </c>
      <c r="B719" s="1" t="s">
        <v>1221</v>
      </c>
      <c r="C719" s="1" t="n">
        <v>115</v>
      </c>
      <c r="E719" s="1" t="s">
        <v>2128</v>
      </c>
      <c r="F719" s="1" t="s">
        <v>2061</v>
      </c>
      <c r="G719" s="1" t="s">
        <v>2134</v>
      </c>
      <c r="H719" s="1" t="s">
        <v>2135</v>
      </c>
      <c r="J719" s="1" t="s">
        <v>2136</v>
      </c>
      <c r="K719" s="1" t="n">
        <f aca="false">IF(Search!$D$5="",0,IF(AND(OR(Search!$N$5="",ISNUMBER(SEARCH(Search!$N$5,J719))),OR(Search!$N$6="",ISNUMBER(SEARCH(Search!$N$6,J719))),OR(Search!$N$7="",ISNUMBER(SEARCH(Search!$N$7,J719))),OR(Search!$N$8="",ISNUMBER(SEARCH(Search!$N$8,J719)))),1,0))</f>
        <v>0</v>
      </c>
      <c r="L719" s="1" t="n">
        <f aca="false">L718+K719</f>
        <v>0</v>
      </c>
    </row>
    <row r="720" customFormat="false" ht="15" hidden="false" customHeight="true" outlineLevel="0" collapsed="false">
      <c r="A720" s="1" t="s">
        <v>276</v>
      </c>
      <c r="B720" s="1" t="s">
        <v>1221</v>
      </c>
      <c r="C720" s="1" t="n">
        <v>116</v>
      </c>
      <c r="E720" s="1" t="s">
        <v>2128</v>
      </c>
      <c r="F720" s="1" t="s">
        <v>585</v>
      </c>
      <c r="G720" s="1" t="s">
        <v>2137</v>
      </c>
      <c r="H720" s="1" t="s">
        <v>2138</v>
      </c>
      <c r="J720" s="1" t="s">
        <v>2139</v>
      </c>
      <c r="K720" s="1" t="n">
        <f aca="false">IF(Search!$D$5="",0,IF(AND(OR(Search!$N$5="",ISNUMBER(SEARCH(Search!$N$5,J720))),OR(Search!$N$6="",ISNUMBER(SEARCH(Search!$N$6,J720))),OR(Search!$N$7="",ISNUMBER(SEARCH(Search!$N$7,J720))),OR(Search!$N$8="",ISNUMBER(SEARCH(Search!$N$8,J720)))),1,0))</f>
        <v>0</v>
      </c>
      <c r="L720" s="1" t="n">
        <f aca="false">L719+K720</f>
        <v>0</v>
      </c>
    </row>
    <row r="721" customFormat="false" ht="15" hidden="false" customHeight="true" outlineLevel="0" collapsed="false">
      <c r="A721" s="1" t="s">
        <v>276</v>
      </c>
      <c r="B721" s="1" t="s">
        <v>1221</v>
      </c>
      <c r="C721" s="1" t="n">
        <v>117</v>
      </c>
      <c r="E721" s="1" t="s">
        <v>2128</v>
      </c>
      <c r="F721" s="1" t="s">
        <v>580</v>
      </c>
      <c r="G721" s="1" t="s">
        <v>2140</v>
      </c>
      <c r="H721" s="1" t="s">
        <v>2141</v>
      </c>
      <c r="J721" s="1" t="s">
        <v>2142</v>
      </c>
      <c r="K721" s="1" t="n">
        <f aca="false">IF(Search!$D$5="",0,IF(AND(OR(Search!$N$5="",ISNUMBER(SEARCH(Search!$N$5,J721))),OR(Search!$N$6="",ISNUMBER(SEARCH(Search!$N$6,J721))),OR(Search!$N$7="",ISNUMBER(SEARCH(Search!$N$7,J721))),OR(Search!$N$8="",ISNUMBER(SEARCH(Search!$N$8,J721)))),1,0))</f>
        <v>0</v>
      </c>
      <c r="L721" s="1" t="n">
        <f aca="false">L720+K721</f>
        <v>0</v>
      </c>
    </row>
    <row r="722" customFormat="false" ht="15" hidden="false" customHeight="true" outlineLevel="0" collapsed="false">
      <c r="A722" s="1" t="s">
        <v>276</v>
      </c>
      <c r="B722" s="1" t="s">
        <v>1221</v>
      </c>
      <c r="C722" s="1" t="n">
        <v>118</v>
      </c>
      <c r="E722" s="1" t="s">
        <v>2143</v>
      </c>
      <c r="F722" s="1" t="s">
        <v>627</v>
      </c>
      <c r="G722" s="1" t="s">
        <v>1589</v>
      </c>
      <c r="H722" s="1" t="s">
        <v>2144</v>
      </c>
      <c r="J722" s="1" t="s">
        <v>2145</v>
      </c>
      <c r="K722" s="1" t="n">
        <f aca="false">IF(Search!$D$5="",0,IF(AND(OR(Search!$N$5="",ISNUMBER(SEARCH(Search!$N$5,J722))),OR(Search!$N$6="",ISNUMBER(SEARCH(Search!$N$6,J722))),OR(Search!$N$7="",ISNUMBER(SEARCH(Search!$N$7,J722))),OR(Search!$N$8="",ISNUMBER(SEARCH(Search!$N$8,J722)))),1,0))</f>
        <v>0</v>
      </c>
      <c r="L722" s="1" t="n">
        <f aca="false">L721+K722</f>
        <v>0</v>
      </c>
    </row>
    <row r="723" customFormat="false" ht="15" hidden="false" customHeight="true" outlineLevel="0" collapsed="false">
      <c r="A723" s="1" t="s">
        <v>276</v>
      </c>
      <c r="B723" s="1" t="s">
        <v>1221</v>
      </c>
      <c r="C723" s="1" t="n">
        <v>119</v>
      </c>
      <c r="E723" s="1" t="s">
        <v>2143</v>
      </c>
      <c r="F723" s="1" t="s">
        <v>2061</v>
      </c>
      <c r="G723" s="1" t="s">
        <v>2146</v>
      </c>
      <c r="H723" s="1" t="s">
        <v>2147</v>
      </c>
      <c r="J723" s="1" t="s">
        <v>2148</v>
      </c>
      <c r="K723" s="1" t="n">
        <f aca="false">IF(Search!$D$5="",0,IF(AND(OR(Search!$N$5="",ISNUMBER(SEARCH(Search!$N$5,J723))),OR(Search!$N$6="",ISNUMBER(SEARCH(Search!$N$6,J723))),OR(Search!$N$7="",ISNUMBER(SEARCH(Search!$N$7,J723))),OR(Search!$N$8="",ISNUMBER(SEARCH(Search!$N$8,J723)))),1,0))</f>
        <v>0</v>
      </c>
      <c r="L723" s="1" t="n">
        <f aca="false">L722+K723</f>
        <v>0</v>
      </c>
    </row>
    <row r="724" customFormat="false" ht="15" hidden="false" customHeight="true" outlineLevel="0" collapsed="false">
      <c r="A724" s="1" t="s">
        <v>276</v>
      </c>
      <c r="B724" s="1" t="s">
        <v>1221</v>
      </c>
      <c r="C724" s="1" t="n">
        <v>120</v>
      </c>
      <c r="E724" s="1" t="s">
        <v>2149</v>
      </c>
      <c r="F724" s="1" t="s">
        <v>627</v>
      </c>
      <c r="G724" s="1" t="s">
        <v>2150</v>
      </c>
      <c r="H724" s="1" t="s">
        <v>2151</v>
      </c>
      <c r="J724" s="1" t="s">
        <v>2152</v>
      </c>
      <c r="K724" s="1" t="n">
        <f aca="false">IF(Search!$D$5="",0,IF(AND(OR(Search!$N$5="",ISNUMBER(SEARCH(Search!$N$5,J724))),OR(Search!$N$6="",ISNUMBER(SEARCH(Search!$N$6,J724))),OR(Search!$N$7="",ISNUMBER(SEARCH(Search!$N$7,J724))),OR(Search!$N$8="",ISNUMBER(SEARCH(Search!$N$8,J724)))),1,0))</f>
        <v>0</v>
      </c>
      <c r="L724" s="1" t="n">
        <f aca="false">L723+K724</f>
        <v>0</v>
      </c>
    </row>
    <row r="725" customFormat="false" ht="15" hidden="false" customHeight="true" outlineLevel="0" collapsed="false">
      <c r="A725" s="1" t="s">
        <v>276</v>
      </c>
      <c r="B725" s="1" t="s">
        <v>1221</v>
      </c>
      <c r="C725" s="1" t="n">
        <v>121</v>
      </c>
      <c r="E725" s="1" t="s">
        <v>2149</v>
      </c>
      <c r="F725" s="1" t="s">
        <v>2061</v>
      </c>
      <c r="G725" s="1" t="s">
        <v>2153</v>
      </c>
      <c r="H725" s="1" t="s">
        <v>2154</v>
      </c>
      <c r="J725" s="1" t="s">
        <v>2155</v>
      </c>
      <c r="K725" s="1" t="n">
        <f aca="false">IF(Search!$D$5="",0,IF(AND(OR(Search!$N$5="",ISNUMBER(SEARCH(Search!$N$5,J725))),OR(Search!$N$6="",ISNUMBER(SEARCH(Search!$N$6,J725))),OR(Search!$N$7="",ISNUMBER(SEARCH(Search!$N$7,J725))),OR(Search!$N$8="",ISNUMBER(SEARCH(Search!$N$8,J725)))),1,0))</f>
        <v>0</v>
      </c>
      <c r="L725" s="1" t="n">
        <f aca="false">L724+K725</f>
        <v>0</v>
      </c>
    </row>
    <row r="726" customFormat="false" ht="15" hidden="false" customHeight="true" outlineLevel="0" collapsed="false">
      <c r="A726" s="1" t="s">
        <v>276</v>
      </c>
      <c r="B726" s="1" t="s">
        <v>1221</v>
      </c>
      <c r="C726" s="1" t="n">
        <v>122</v>
      </c>
      <c r="E726" s="1" t="s">
        <v>2149</v>
      </c>
      <c r="F726" s="1" t="s">
        <v>2081</v>
      </c>
      <c r="G726" s="1" t="s">
        <v>2156</v>
      </c>
      <c r="H726" s="1" t="s">
        <v>2157</v>
      </c>
      <c r="J726" s="1" t="s">
        <v>2158</v>
      </c>
      <c r="K726" s="1" t="n">
        <f aca="false">IF(Search!$D$5="",0,IF(AND(OR(Search!$N$5="",ISNUMBER(SEARCH(Search!$N$5,J726))),OR(Search!$N$6="",ISNUMBER(SEARCH(Search!$N$6,J726))),OR(Search!$N$7="",ISNUMBER(SEARCH(Search!$N$7,J726))),OR(Search!$N$8="",ISNUMBER(SEARCH(Search!$N$8,J726)))),1,0))</f>
        <v>0</v>
      </c>
      <c r="L726" s="1" t="n">
        <f aca="false">L725+K726</f>
        <v>0</v>
      </c>
    </row>
    <row r="727" customFormat="false" ht="15" hidden="false" customHeight="true" outlineLevel="0" collapsed="false">
      <c r="A727" s="1" t="s">
        <v>276</v>
      </c>
      <c r="B727" s="1" t="s">
        <v>1221</v>
      </c>
      <c r="C727" s="1" t="n">
        <v>123</v>
      </c>
      <c r="E727" s="1" t="s">
        <v>2149</v>
      </c>
      <c r="F727" s="1" t="s">
        <v>585</v>
      </c>
      <c r="G727" s="1" t="s">
        <v>2159</v>
      </c>
      <c r="H727" s="1" t="s">
        <v>2160</v>
      </c>
      <c r="J727" s="1" t="s">
        <v>2161</v>
      </c>
      <c r="K727" s="1" t="n">
        <f aca="false">IF(Search!$D$5="",0,IF(AND(OR(Search!$N$5="",ISNUMBER(SEARCH(Search!$N$5,J727))),OR(Search!$N$6="",ISNUMBER(SEARCH(Search!$N$6,J727))),OR(Search!$N$7="",ISNUMBER(SEARCH(Search!$N$7,J727))),OR(Search!$N$8="",ISNUMBER(SEARCH(Search!$N$8,J727)))),1,0))</f>
        <v>0</v>
      </c>
      <c r="L727" s="1" t="n">
        <f aca="false">L726+K727</f>
        <v>0</v>
      </c>
    </row>
    <row r="728" customFormat="false" ht="15" hidden="false" customHeight="true" outlineLevel="0" collapsed="false">
      <c r="A728" s="1" t="s">
        <v>276</v>
      </c>
      <c r="B728" s="1" t="s">
        <v>1221</v>
      </c>
      <c r="C728" s="1" t="n">
        <v>124</v>
      </c>
      <c r="E728" s="1" t="s">
        <v>2149</v>
      </c>
      <c r="F728" s="1" t="s">
        <v>587</v>
      </c>
      <c r="G728" s="1" t="s">
        <v>2162</v>
      </c>
      <c r="H728" s="1" t="s">
        <v>2163</v>
      </c>
      <c r="J728" s="1" t="s">
        <v>2164</v>
      </c>
      <c r="K728" s="1" t="n">
        <f aca="false">IF(Search!$D$5="",0,IF(AND(OR(Search!$N$5="",ISNUMBER(SEARCH(Search!$N$5,J728))),OR(Search!$N$6="",ISNUMBER(SEARCH(Search!$N$6,J728))),OR(Search!$N$7="",ISNUMBER(SEARCH(Search!$N$7,J728))),OR(Search!$N$8="",ISNUMBER(SEARCH(Search!$N$8,J728)))),1,0))</f>
        <v>0</v>
      </c>
      <c r="L728" s="1" t="n">
        <f aca="false">L727+K728</f>
        <v>0</v>
      </c>
    </row>
    <row r="729" customFormat="false" ht="15" hidden="false" customHeight="true" outlineLevel="0" collapsed="false">
      <c r="A729" s="1" t="s">
        <v>276</v>
      </c>
      <c r="B729" s="1" t="s">
        <v>1221</v>
      </c>
      <c r="C729" s="1" t="n">
        <v>125</v>
      </c>
      <c r="E729" s="1" t="s">
        <v>2149</v>
      </c>
      <c r="F729" s="1" t="s">
        <v>583</v>
      </c>
      <c r="G729" s="1" t="s">
        <v>2165</v>
      </c>
      <c r="H729" s="1" t="s">
        <v>2166</v>
      </c>
      <c r="J729" s="1" t="s">
        <v>2167</v>
      </c>
      <c r="K729" s="1" t="n">
        <f aca="false">IF(Search!$D$5="",0,IF(AND(OR(Search!$N$5="",ISNUMBER(SEARCH(Search!$N$5,J729))),OR(Search!$N$6="",ISNUMBER(SEARCH(Search!$N$6,J729))),OR(Search!$N$7="",ISNUMBER(SEARCH(Search!$N$7,J729))),OR(Search!$N$8="",ISNUMBER(SEARCH(Search!$N$8,J729)))),1,0))</f>
        <v>0</v>
      </c>
      <c r="L729" s="1" t="n">
        <f aca="false">L728+K729</f>
        <v>0</v>
      </c>
    </row>
    <row r="730" customFormat="false" ht="15" hidden="false" customHeight="true" outlineLevel="0" collapsed="false">
      <c r="A730" s="1" t="s">
        <v>276</v>
      </c>
      <c r="B730" s="1" t="s">
        <v>1221</v>
      </c>
      <c r="C730" s="1" t="n">
        <v>126</v>
      </c>
      <c r="E730" s="1" t="s">
        <v>2149</v>
      </c>
      <c r="F730" s="1" t="s">
        <v>2168</v>
      </c>
      <c r="G730" s="1" t="s">
        <v>2169</v>
      </c>
      <c r="H730" s="1" t="s">
        <v>2170</v>
      </c>
      <c r="J730" s="1" t="s">
        <v>2171</v>
      </c>
      <c r="K730" s="1" t="n">
        <f aca="false">IF(Search!$D$5="",0,IF(AND(OR(Search!$N$5="",ISNUMBER(SEARCH(Search!$N$5,J730))),OR(Search!$N$6="",ISNUMBER(SEARCH(Search!$N$6,J730))),OR(Search!$N$7="",ISNUMBER(SEARCH(Search!$N$7,J730))),OR(Search!$N$8="",ISNUMBER(SEARCH(Search!$N$8,J730)))),1,0))</f>
        <v>0</v>
      </c>
      <c r="L730" s="1" t="n">
        <f aca="false">L729+K730</f>
        <v>0</v>
      </c>
    </row>
    <row r="731" customFormat="false" ht="15" hidden="false" customHeight="true" outlineLevel="0" collapsed="false">
      <c r="A731" s="1" t="s">
        <v>276</v>
      </c>
      <c r="B731" s="1" t="s">
        <v>1221</v>
      </c>
      <c r="C731" s="1" t="n">
        <v>127</v>
      </c>
      <c r="E731" s="1" t="s">
        <v>2149</v>
      </c>
      <c r="F731" s="1" t="s">
        <v>2172</v>
      </c>
      <c r="G731" s="1" t="s">
        <v>2173</v>
      </c>
      <c r="H731" s="1" t="s">
        <v>2174</v>
      </c>
      <c r="J731" s="1" t="s">
        <v>2175</v>
      </c>
      <c r="K731" s="1" t="n">
        <f aca="false">IF(Search!$D$5="",0,IF(AND(OR(Search!$N$5="",ISNUMBER(SEARCH(Search!$N$5,J731))),OR(Search!$N$6="",ISNUMBER(SEARCH(Search!$N$6,J731))),OR(Search!$N$7="",ISNUMBER(SEARCH(Search!$N$7,J731))),OR(Search!$N$8="",ISNUMBER(SEARCH(Search!$N$8,J731)))),1,0))</f>
        <v>0</v>
      </c>
      <c r="L731" s="1" t="n">
        <f aca="false">L730+K731</f>
        <v>0</v>
      </c>
    </row>
    <row r="732" customFormat="false" ht="15" hidden="false" customHeight="true" outlineLevel="0" collapsed="false">
      <c r="A732" s="1" t="s">
        <v>276</v>
      </c>
      <c r="B732" s="1" t="s">
        <v>1221</v>
      </c>
      <c r="C732" s="1" t="n">
        <v>128</v>
      </c>
      <c r="E732" s="1" t="s">
        <v>2176</v>
      </c>
      <c r="F732" s="1" t="s">
        <v>2168</v>
      </c>
      <c r="G732" s="1" t="s">
        <v>2177</v>
      </c>
      <c r="H732" s="1" t="s">
        <v>2178</v>
      </c>
      <c r="J732" s="1" t="s">
        <v>2179</v>
      </c>
      <c r="K732" s="1" t="n">
        <f aca="false">IF(Search!$D$5="",0,IF(AND(OR(Search!$N$5="",ISNUMBER(SEARCH(Search!$N$5,J732))),OR(Search!$N$6="",ISNUMBER(SEARCH(Search!$N$6,J732))),OR(Search!$N$7="",ISNUMBER(SEARCH(Search!$N$7,J732))),OR(Search!$N$8="",ISNUMBER(SEARCH(Search!$N$8,J732)))),1,0))</f>
        <v>0</v>
      </c>
      <c r="L732" s="1" t="n">
        <f aca="false">L731+K732</f>
        <v>0</v>
      </c>
    </row>
    <row r="733" customFormat="false" ht="15" hidden="false" customHeight="true" outlineLevel="0" collapsed="false">
      <c r="A733" s="1" t="s">
        <v>276</v>
      </c>
      <c r="B733" s="1" t="s">
        <v>1221</v>
      </c>
      <c r="C733" s="1" t="n">
        <v>129</v>
      </c>
      <c r="E733" s="1" t="s">
        <v>2176</v>
      </c>
      <c r="F733" s="1" t="s">
        <v>2180</v>
      </c>
      <c r="G733" s="1" t="s">
        <v>2181</v>
      </c>
      <c r="H733" s="1" t="s">
        <v>2182</v>
      </c>
      <c r="J733" s="1" t="s">
        <v>2183</v>
      </c>
      <c r="K733" s="1" t="n">
        <f aca="false">IF(Search!$D$5="",0,IF(AND(OR(Search!$N$5="",ISNUMBER(SEARCH(Search!$N$5,J733))),OR(Search!$N$6="",ISNUMBER(SEARCH(Search!$N$6,J733))),OR(Search!$N$7="",ISNUMBER(SEARCH(Search!$N$7,J733))),OR(Search!$N$8="",ISNUMBER(SEARCH(Search!$N$8,J733)))),1,0))</f>
        <v>0</v>
      </c>
      <c r="L733" s="1" t="n">
        <f aca="false">L732+K733</f>
        <v>0</v>
      </c>
    </row>
    <row r="734" customFormat="false" ht="15" hidden="false" customHeight="true" outlineLevel="0" collapsed="false">
      <c r="A734" s="1" t="s">
        <v>276</v>
      </c>
      <c r="B734" s="1" t="s">
        <v>1221</v>
      </c>
      <c r="C734" s="1" t="n">
        <v>130</v>
      </c>
      <c r="E734" s="1" t="s">
        <v>2176</v>
      </c>
      <c r="F734" s="1" t="s">
        <v>982</v>
      </c>
      <c r="G734" s="1" t="s">
        <v>2184</v>
      </c>
      <c r="H734" s="1" t="s">
        <v>2185</v>
      </c>
      <c r="J734" s="1" t="s">
        <v>2186</v>
      </c>
      <c r="K734" s="1" t="n">
        <f aca="false">IF(Search!$D$5="",0,IF(AND(OR(Search!$N$5="",ISNUMBER(SEARCH(Search!$N$5,J734))),OR(Search!$N$6="",ISNUMBER(SEARCH(Search!$N$6,J734))),OR(Search!$N$7="",ISNUMBER(SEARCH(Search!$N$7,J734))),OR(Search!$N$8="",ISNUMBER(SEARCH(Search!$N$8,J734)))),1,0))</f>
        <v>0</v>
      </c>
      <c r="L734" s="1" t="n">
        <f aca="false">L733+K734</f>
        <v>0</v>
      </c>
    </row>
    <row r="735" customFormat="false" ht="15" hidden="false" customHeight="true" outlineLevel="0" collapsed="false">
      <c r="A735" s="1" t="s">
        <v>276</v>
      </c>
      <c r="B735" s="1" t="s">
        <v>1221</v>
      </c>
      <c r="C735" s="1" t="n">
        <v>131</v>
      </c>
      <c r="E735" s="1" t="s">
        <v>2176</v>
      </c>
      <c r="F735" s="1" t="s">
        <v>2187</v>
      </c>
      <c r="G735" s="1" t="s">
        <v>2188</v>
      </c>
      <c r="H735" s="1" t="s">
        <v>2189</v>
      </c>
      <c r="J735" s="1" t="s">
        <v>2190</v>
      </c>
      <c r="K735" s="1" t="n">
        <f aca="false">IF(Search!$D$5="",0,IF(AND(OR(Search!$N$5="",ISNUMBER(SEARCH(Search!$N$5,J735))),OR(Search!$N$6="",ISNUMBER(SEARCH(Search!$N$6,J735))),OR(Search!$N$7="",ISNUMBER(SEARCH(Search!$N$7,J735))),OR(Search!$N$8="",ISNUMBER(SEARCH(Search!$N$8,J735)))),1,0))</f>
        <v>0</v>
      </c>
      <c r="L735" s="1" t="n">
        <f aca="false">L734+K735</f>
        <v>0</v>
      </c>
    </row>
    <row r="736" customFormat="false" ht="15" hidden="false" customHeight="true" outlineLevel="0" collapsed="false">
      <c r="A736" s="1" t="s">
        <v>276</v>
      </c>
      <c r="B736" s="1" t="s">
        <v>1221</v>
      </c>
      <c r="C736" s="1" t="n">
        <v>134</v>
      </c>
      <c r="E736" s="1" t="s">
        <v>1802</v>
      </c>
      <c r="J736" s="1" t="s">
        <v>1802</v>
      </c>
      <c r="K736" s="1" t="n">
        <f aca="false">IF(Search!$D$5="",0,IF(AND(OR(Search!$N$5="",ISNUMBER(SEARCH(Search!$N$5,J736))),OR(Search!$N$6="",ISNUMBER(SEARCH(Search!$N$6,J736))),OR(Search!$N$7="",ISNUMBER(SEARCH(Search!$N$7,J736))),OR(Search!$N$8="",ISNUMBER(SEARCH(Search!$N$8,J736)))),1,0))</f>
        <v>0</v>
      </c>
      <c r="L736" s="1" t="n">
        <f aca="false">L735+K736</f>
        <v>0</v>
      </c>
    </row>
    <row r="737" customFormat="false" ht="15" hidden="false" customHeight="true" outlineLevel="0" collapsed="false">
      <c r="A737" s="1" t="s">
        <v>276</v>
      </c>
      <c r="B737" s="1" t="s">
        <v>1221</v>
      </c>
      <c r="C737" s="1" t="n">
        <v>135</v>
      </c>
      <c r="E737" s="1" t="s">
        <v>1279</v>
      </c>
      <c r="J737" s="1" t="s">
        <v>1279</v>
      </c>
      <c r="K737" s="1" t="n">
        <f aca="false">IF(Search!$D$5="",0,IF(AND(OR(Search!$N$5="",ISNUMBER(SEARCH(Search!$N$5,J737))),OR(Search!$N$6="",ISNUMBER(SEARCH(Search!$N$6,J737))),OR(Search!$N$7="",ISNUMBER(SEARCH(Search!$N$7,J737))),OR(Search!$N$8="",ISNUMBER(SEARCH(Search!$N$8,J737)))),1,0))</f>
        <v>0</v>
      </c>
      <c r="L737" s="1" t="n">
        <f aca="false">L736+K737</f>
        <v>0</v>
      </c>
    </row>
    <row r="738" customFormat="false" ht="16.5" hidden="false" customHeight="true" outlineLevel="0" collapsed="false">
      <c r="A738" s="1" t="s">
        <v>279</v>
      </c>
      <c r="B738" s="1" t="s">
        <v>1221</v>
      </c>
      <c r="C738" s="1" t="n">
        <v>2</v>
      </c>
      <c r="E738" s="1" t="s">
        <v>2191</v>
      </c>
      <c r="J738" s="1" t="s">
        <v>2191</v>
      </c>
      <c r="K738" s="1" t="n">
        <f aca="false">IF(Search!$D$5="",0,IF(AND(OR(Search!$N$5="",ISNUMBER(SEARCH(Search!$N$5,J738))),OR(Search!$N$6="",ISNUMBER(SEARCH(Search!$N$6,J738))),OR(Search!$N$7="",ISNUMBER(SEARCH(Search!$N$7,J738))),OR(Search!$N$8="",ISNUMBER(SEARCH(Search!$N$8,J738)))),1,0))</f>
        <v>0</v>
      </c>
      <c r="L738" s="1" t="n">
        <f aca="false">L737+K738</f>
        <v>0</v>
      </c>
    </row>
    <row r="739" customFormat="false" ht="15" hidden="false" customHeight="true" outlineLevel="0" collapsed="false">
      <c r="A739" s="1" t="s">
        <v>279</v>
      </c>
      <c r="B739" s="1" t="s">
        <v>1221</v>
      </c>
      <c r="C739" s="1" t="n">
        <v>3</v>
      </c>
      <c r="E739" s="1" t="s">
        <v>2192</v>
      </c>
      <c r="J739" s="1" t="s">
        <v>2192</v>
      </c>
      <c r="K739" s="1" t="n">
        <f aca="false">IF(Search!$D$5="",0,IF(AND(OR(Search!$N$5="",ISNUMBER(SEARCH(Search!$N$5,J739))),OR(Search!$N$6="",ISNUMBER(SEARCH(Search!$N$6,J739))),OR(Search!$N$7="",ISNUMBER(SEARCH(Search!$N$7,J739))),OR(Search!$N$8="",ISNUMBER(SEARCH(Search!$N$8,J739)))),1,0))</f>
        <v>0</v>
      </c>
      <c r="L739" s="1" t="n">
        <f aca="false">L738+K739</f>
        <v>0</v>
      </c>
    </row>
    <row r="740" customFormat="false" ht="15" hidden="false" customHeight="true" outlineLevel="0" collapsed="false">
      <c r="A740" s="1" t="s">
        <v>279</v>
      </c>
      <c r="B740" s="1" t="s">
        <v>1221</v>
      </c>
      <c r="C740" s="1" t="n">
        <v>5</v>
      </c>
      <c r="E740" s="1" t="s">
        <v>2193</v>
      </c>
      <c r="J740" s="1" t="s">
        <v>2193</v>
      </c>
      <c r="K740" s="1" t="n">
        <f aca="false">IF(Search!$D$5="",0,IF(AND(OR(Search!$N$5="",ISNUMBER(SEARCH(Search!$N$5,J740))),OR(Search!$N$6="",ISNUMBER(SEARCH(Search!$N$6,J740))),OR(Search!$N$7="",ISNUMBER(SEARCH(Search!$N$7,J740))),OR(Search!$N$8="",ISNUMBER(SEARCH(Search!$N$8,J740)))),1,0))</f>
        <v>0</v>
      </c>
      <c r="L740" s="1" t="n">
        <f aca="false">L739+K740</f>
        <v>0</v>
      </c>
    </row>
    <row r="741" customFormat="false" ht="15" hidden="false" customHeight="true" outlineLevel="0" collapsed="false">
      <c r="A741" s="1" t="s">
        <v>279</v>
      </c>
      <c r="B741" s="1" t="s">
        <v>1221</v>
      </c>
      <c r="C741" s="1" t="n">
        <v>6</v>
      </c>
      <c r="E741" s="1" t="s">
        <v>2194</v>
      </c>
      <c r="F741" s="1" t="s">
        <v>2195</v>
      </c>
      <c r="G741" s="1" t="s">
        <v>2196</v>
      </c>
      <c r="H741" s="1" t="s">
        <v>2197</v>
      </c>
      <c r="J741" s="1" t="s">
        <v>2198</v>
      </c>
      <c r="K741" s="1" t="n">
        <f aca="false">IF(Search!$D$5="",0,IF(AND(OR(Search!$N$5="",ISNUMBER(SEARCH(Search!$N$5,J741))),OR(Search!$N$6="",ISNUMBER(SEARCH(Search!$N$6,J741))),OR(Search!$N$7="",ISNUMBER(SEARCH(Search!$N$7,J741))),OR(Search!$N$8="",ISNUMBER(SEARCH(Search!$N$8,J741)))),1,0))</f>
        <v>0</v>
      </c>
      <c r="L741" s="1" t="n">
        <f aca="false">L740+K741</f>
        <v>0</v>
      </c>
    </row>
    <row r="742" customFormat="false" ht="15" hidden="false" customHeight="true" outlineLevel="0" collapsed="false">
      <c r="A742" s="1" t="s">
        <v>279</v>
      </c>
      <c r="B742" s="1" t="s">
        <v>1221</v>
      </c>
      <c r="C742" s="1" t="n">
        <v>7</v>
      </c>
      <c r="E742" s="1" t="s">
        <v>2199</v>
      </c>
      <c r="F742" s="1" t="s">
        <v>1838</v>
      </c>
      <c r="G742" s="1" t="s">
        <v>2200</v>
      </c>
      <c r="H742" s="1" t="s">
        <v>2201</v>
      </c>
      <c r="J742" s="1" t="s">
        <v>2202</v>
      </c>
      <c r="K742" s="1" t="n">
        <f aca="false">IF(Search!$D$5="",0,IF(AND(OR(Search!$N$5="",ISNUMBER(SEARCH(Search!$N$5,J742))),OR(Search!$N$6="",ISNUMBER(SEARCH(Search!$N$6,J742))),OR(Search!$N$7="",ISNUMBER(SEARCH(Search!$N$7,J742))),OR(Search!$N$8="",ISNUMBER(SEARCH(Search!$N$8,J742)))),1,0))</f>
        <v>0</v>
      </c>
      <c r="L742" s="1" t="n">
        <f aca="false">L741+K742</f>
        <v>0</v>
      </c>
    </row>
    <row r="743" customFormat="false" ht="15" hidden="false" customHeight="true" outlineLevel="0" collapsed="false">
      <c r="A743" s="1" t="s">
        <v>279</v>
      </c>
      <c r="B743" s="1" t="s">
        <v>1221</v>
      </c>
      <c r="C743" s="1" t="n">
        <v>8</v>
      </c>
      <c r="E743" s="1" t="s">
        <v>2199</v>
      </c>
      <c r="F743" s="1" t="s">
        <v>1834</v>
      </c>
      <c r="G743" s="1" t="s">
        <v>2203</v>
      </c>
      <c r="H743" s="1" t="s">
        <v>2204</v>
      </c>
      <c r="J743" s="1" t="s">
        <v>2205</v>
      </c>
      <c r="K743" s="1" t="n">
        <f aca="false">IF(Search!$D$5="",0,IF(AND(OR(Search!$N$5="",ISNUMBER(SEARCH(Search!$N$5,J743))),OR(Search!$N$6="",ISNUMBER(SEARCH(Search!$N$6,J743))),OR(Search!$N$7="",ISNUMBER(SEARCH(Search!$N$7,J743))),OR(Search!$N$8="",ISNUMBER(SEARCH(Search!$N$8,J743)))),1,0))</f>
        <v>0</v>
      </c>
      <c r="L743" s="1" t="n">
        <f aca="false">L742+K743</f>
        <v>0</v>
      </c>
    </row>
    <row r="744" customFormat="false" ht="15" hidden="false" customHeight="true" outlineLevel="0" collapsed="false">
      <c r="A744" s="1" t="s">
        <v>279</v>
      </c>
      <c r="B744" s="1" t="s">
        <v>1221</v>
      </c>
      <c r="C744" s="1" t="n">
        <v>9</v>
      </c>
      <c r="E744" s="1" t="s">
        <v>2206</v>
      </c>
      <c r="F744" s="1" t="s">
        <v>1838</v>
      </c>
      <c r="G744" s="1" t="s">
        <v>2207</v>
      </c>
      <c r="H744" s="1" t="s">
        <v>2208</v>
      </c>
      <c r="J744" s="1" t="s">
        <v>2209</v>
      </c>
      <c r="K744" s="1" t="n">
        <f aca="false">IF(Search!$D$5="",0,IF(AND(OR(Search!$N$5="",ISNUMBER(SEARCH(Search!$N$5,J744))),OR(Search!$N$6="",ISNUMBER(SEARCH(Search!$N$6,J744))),OR(Search!$N$7="",ISNUMBER(SEARCH(Search!$N$7,J744))),OR(Search!$N$8="",ISNUMBER(SEARCH(Search!$N$8,J744)))),1,0))</f>
        <v>0</v>
      </c>
      <c r="L744" s="1" t="n">
        <f aca="false">L743+K744</f>
        <v>0</v>
      </c>
    </row>
    <row r="745" customFormat="false" ht="15" hidden="false" customHeight="true" outlineLevel="0" collapsed="false">
      <c r="A745" s="1" t="s">
        <v>279</v>
      </c>
      <c r="B745" s="1" t="s">
        <v>1221</v>
      </c>
      <c r="C745" s="1" t="n">
        <v>10</v>
      </c>
      <c r="E745" s="1" t="s">
        <v>2206</v>
      </c>
      <c r="F745" s="1" t="s">
        <v>1943</v>
      </c>
      <c r="G745" s="1" t="s">
        <v>2210</v>
      </c>
      <c r="H745" s="1" t="s">
        <v>2211</v>
      </c>
      <c r="J745" s="1" t="s">
        <v>2212</v>
      </c>
      <c r="K745" s="1" t="n">
        <f aca="false">IF(Search!$D$5="",0,IF(AND(OR(Search!$N$5="",ISNUMBER(SEARCH(Search!$N$5,J745))),OR(Search!$N$6="",ISNUMBER(SEARCH(Search!$N$6,J745))),OR(Search!$N$7="",ISNUMBER(SEARCH(Search!$N$7,J745))),OR(Search!$N$8="",ISNUMBER(SEARCH(Search!$N$8,J745)))),1,0))</f>
        <v>0</v>
      </c>
      <c r="L745" s="1" t="n">
        <f aca="false">L744+K745</f>
        <v>0</v>
      </c>
    </row>
    <row r="746" customFormat="false" ht="15" hidden="false" customHeight="true" outlineLevel="0" collapsed="false">
      <c r="A746" s="1" t="s">
        <v>279</v>
      </c>
      <c r="B746" s="1" t="s">
        <v>1221</v>
      </c>
      <c r="C746" s="1" t="n">
        <v>11</v>
      </c>
      <c r="E746" s="1" t="s">
        <v>2206</v>
      </c>
      <c r="F746" s="1" t="s">
        <v>1929</v>
      </c>
      <c r="G746" s="1" t="s">
        <v>2213</v>
      </c>
      <c r="H746" s="1" t="s">
        <v>2214</v>
      </c>
      <c r="J746" s="1" t="s">
        <v>2215</v>
      </c>
      <c r="K746" s="1" t="n">
        <f aca="false">IF(Search!$D$5="",0,IF(AND(OR(Search!$N$5="",ISNUMBER(SEARCH(Search!$N$5,J746))),OR(Search!$N$6="",ISNUMBER(SEARCH(Search!$N$6,J746))),OR(Search!$N$7="",ISNUMBER(SEARCH(Search!$N$7,J746))),OR(Search!$N$8="",ISNUMBER(SEARCH(Search!$N$8,J746)))),1,0))</f>
        <v>0</v>
      </c>
      <c r="L746" s="1" t="n">
        <f aca="false">L745+K746</f>
        <v>0</v>
      </c>
    </row>
    <row r="747" customFormat="false" ht="15" hidden="false" customHeight="true" outlineLevel="0" collapsed="false">
      <c r="A747" s="1" t="s">
        <v>279</v>
      </c>
      <c r="B747" s="1" t="s">
        <v>1221</v>
      </c>
      <c r="C747" s="1" t="n">
        <v>12</v>
      </c>
      <c r="E747" s="1" t="s">
        <v>2216</v>
      </c>
      <c r="F747" s="1" t="s">
        <v>1838</v>
      </c>
      <c r="G747" s="1" t="s">
        <v>1721</v>
      </c>
      <c r="H747" s="1" t="s">
        <v>1722</v>
      </c>
      <c r="J747" s="1" t="s">
        <v>2217</v>
      </c>
      <c r="K747" s="1" t="n">
        <f aca="false">IF(Search!$D$5="",0,IF(AND(OR(Search!$N$5="",ISNUMBER(SEARCH(Search!$N$5,J747))),OR(Search!$N$6="",ISNUMBER(SEARCH(Search!$N$6,J747))),OR(Search!$N$7="",ISNUMBER(SEARCH(Search!$N$7,J747))),OR(Search!$N$8="",ISNUMBER(SEARCH(Search!$N$8,J747)))),1,0))</f>
        <v>0</v>
      </c>
      <c r="L747" s="1" t="n">
        <f aca="false">L746+K747</f>
        <v>0</v>
      </c>
    </row>
    <row r="748" customFormat="false" ht="15" hidden="false" customHeight="true" outlineLevel="0" collapsed="false">
      <c r="A748" s="1" t="s">
        <v>279</v>
      </c>
      <c r="B748" s="1" t="s">
        <v>1221</v>
      </c>
      <c r="C748" s="1" t="n">
        <v>13</v>
      </c>
      <c r="E748" s="1" t="s">
        <v>2216</v>
      </c>
      <c r="F748" s="1" t="s">
        <v>1904</v>
      </c>
      <c r="G748" s="1" t="s">
        <v>2218</v>
      </c>
      <c r="H748" s="1" t="s">
        <v>2219</v>
      </c>
      <c r="J748" s="1" t="s">
        <v>2220</v>
      </c>
      <c r="K748" s="1" t="n">
        <f aca="false">IF(Search!$D$5="",0,IF(AND(OR(Search!$N$5="",ISNUMBER(SEARCH(Search!$N$5,J748))),OR(Search!$N$6="",ISNUMBER(SEARCH(Search!$N$6,J748))),OR(Search!$N$7="",ISNUMBER(SEARCH(Search!$N$7,J748))),OR(Search!$N$8="",ISNUMBER(SEARCH(Search!$N$8,J748)))),1,0))</f>
        <v>0</v>
      </c>
      <c r="L748" s="1" t="n">
        <f aca="false">L747+K748</f>
        <v>0</v>
      </c>
    </row>
    <row r="749" customFormat="false" ht="15" hidden="false" customHeight="true" outlineLevel="0" collapsed="false">
      <c r="A749" s="1" t="s">
        <v>279</v>
      </c>
      <c r="B749" s="1" t="s">
        <v>1221</v>
      </c>
      <c r="C749" s="1" t="n">
        <v>14</v>
      </c>
      <c r="E749" s="1" t="s">
        <v>2216</v>
      </c>
      <c r="F749" s="1" t="s">
        <v>1929</v>
      </c>
      <c r="G749" s="1" t="s">
        <v>2008</v>
      </c>
      <c r="H749" s="1" t="s">
        <v>2221</v>
      </c>
      <c r="J749" s="1" t="s">
        <v>2222</v>
      </c>
      <c r="K749" s="1" t="n">
        <f aca="false">IF(Search!$D$5="",0,IF(AND(OR(Search!$N$5="",ISNUMBER(SEARCH(Search!$N$5,J749))),OR(Search!$N$6="",ISNUMBER(SEARCH(Search!$N$6,J749))),OR(Search!$N$7="",ISNUMBER(SEARCH(Search!$N$7,J749))),OR(Search!$N$8="",ISNUMBER(SEARCH(Search!$N$8,J749)))),1,0))</f>
        <v>0</v>
      </c>
      <c r="L749" s="1" t="n">
        <f aca="false">L748+K749</f>
        <v>0</v>
      </c>
    </row>
    <row r="750" customFormat="false" ht="15" hidden="false" customHeight="true" outlineLevel="0" collapsed="false">
      <c r="A750" s="1" t="s">
        <v>279</v>
      </c>
      <c r="B750" s="1" t="s">
        <v>1221</v>
      </c>
      <c r="C750" s="1" t="n">
        <v>15</v>
      </c>
      <c r="E750" s="1" t="s">
        <v>2216</v>
      </c>
      <c r="F750" s="1" t="s">
        <v>1975</v>
      </c>
      <c r="G750" s="1" t="s">
        <v>2005</v>
      </c>
      <c r="H750" s="1" t="s">
        <v>2006</v>
      </c>
      <c r="J750" s="1" t="s">
        <v>2223</v>
      </c>
      <c r="K750" s="1" t="n">
        <f aca="false">IF(Search!$D$5="",0,IF(AND(OR(Search!$N$5="",ISNUMBER(SEARCH(Search!$N$5,J750))),OR(Search!$N$6="",ISNUMBER(SEARCH(Search!$N$6,J750))),OR(Search!$N$7="",ISNUMBER(SEARCH(Search!$N$7,J750))),OR(Search!$N$8="",ISNUMBER(SEARCH(Search!$N$8,J750)))),1,0))</f>
        <v>0</v>
      </c>
      <c r="L750" s="1" t="n">
        <f aca="false">L749+K750</f>
        <v>0</v>
      </c>
    </row>
    <row r="751" customFormat="false" ht="15" hidden="false" customHeight="true" outlineLevel="0" collapsed="false">
      <c r="A751" s="1" t="s">
        <v>279</v>
      </c>
      <c r="B751" s="1" t="s">
        <v>1221</v>
      </c>
      <c r="C751" s="1" t="n">
        <v>16</v>
      </c>
      <c r="E751" s="1" t="s">
        <v>2224</v>
      </c>
      <c r="F751" s="1" t="s">
        <v>1838</v>
      </c>
      <c r="G751" s="1" t="s">
        <v>1980</v>
      </c>
      <c r="H751" s="1" t="s">
        <v>1981</v>
      </c>
      <c r="J751" s="1" t="s">
        <v>2225</v>
      </c>
      <c r="K751" s="1" t="n">
        <f aca="false">IF(Search!$D$5="",0,IF(AND(OR(Search!$N$5="",ISNUMBER(SEARCH(Search!$N$5,J751))),OR(Search!$N$6="",ISNUMBER(SEARCH(Search!$N$6,J751))),OR(Search!$N$7="",ISNUMBER(SEARCH(Search!$N$7,J751))),OR(Search!$N$8="",ISNUMBER(SEARCH(Search!$N$8,J751)))),1,0))</f>
        <v>0</v>
      </c>
      <c r="L751" s="1" t="n">
        <f aca="false">L750+K751</f>
        <v>0</v>
      </c>
    </row>
    <row r="752" customFormat="false" ht="15" hidden="false" customHeight="true" outlineLevel="0" collapsed="false">
      <c r="A752" s="1" t="s">
        <v>279</v>
      </c>
      <c r="B752" s="1" t="s">
        <v>1221</v>
      </c>
      <c r="C752" s="1" t="n">
        <v>17</v>
      </c>
      <c r="E752" s="1" t="s">
        <v>2224</v>
      </c>
      <c r="F752" s="1" t="s">
        <v>1904</v>
      </c>
      <c r="G752" s="1" t="s">
        <v>1986</v>
      </c>
      <c r="H752" s="1" t="s">
        <v>1987</v>
      </c>
      <c r="J752" s="1" t="s">
        <v>2226</v>
      </c>
      <c r="K752" s="1" t="n">
        <f aca="false">IF(Search!$D$5="",0,IF(AND(OR(Search!$N$5="",ISNUMBER(SEARCH(Search!$N$5,J752))),OR(Search!$N$6="",ISNUMBER(SEARCH(Search!$N$6,J752))),OR(Search!$N$7="",ISNUMBER(SEARCH(Search!$N$7,J752))),OR(Search!$N$8="",ISNUMBER(SEARCH(Search!$N$8,J752)))),1,0))</f>
        <v>0</v>
      </c>
      <c r="L752" s="1" t="n">
        <f aca="false">L751+K752</f>
        <v>0</v>
      </c>
    </row>
    <row r="753" customFormat="false" ht="15" hidden="false" customHeight="true" outlineLevel="0" collapsed="false">
      <c r="A753" s="1" t="s">
        <v>279</v>
      </c>
      <c r="B753" s="1" t="s">
        <v>1221</v>
      </c>
      <c r="C753" s="1" t="n">
        <v>18</v>
      </c>
      <c r="E753" s="1" t="s">
        <v>2224</v>
      </c>
      <c r="F753" s="1" t="s">
        <v>1975</v>
      </c>
      <c r="G753" s="1" t="s">
        <v>1989</v>
      </c>
      <c r="H753" s="1" t="s">
        <v>1990</v>
      </c>
      <c r="J753" s="1" t="s">
        <v>2227</v>
      </c>
      <c r="K753" s="1" t="n">
        <f aca="false">IF(Search!$D$5="",0,IF(AND(OR(Search!$N$5="",ISNUMBER(SEARCH(Search!$N$5,J753))),OR(Search!$N$6="",ISNUMBER(SEARCH(Search!$N$6,J753))),OR(Search!$N$7="",ISNUMBER(SEARCH(Search!$N$7,J753))),OR(Search!$N$8="",ISNUMBER(SEARCH(Search!$N$8,J753)))),1,0))</f>
        <v>0</v>
      </c>
      <c r="L753" s="1" t="n">
        <f aca="false">L752+K753</f>
        <v>0</v>
      </c>
    </row>
    <row r="754" customFormat="false" ht="15" hidden="false" customHeight="true" outlineLevel="0" collapsed="false">
      <c r="A754" s="1" t="s">
        <v>279</v>
      </c>
      <c r="B754" s="1" t="s">
        <v>1221</v>
      </c>
      <c r="C754" s="1" t="n">
        <v>19</v>
      </c>
      <c r="E754" s="1" t="s">
        <v>2228</v>
      </c>
      <c r="F754" s="1" t="s">
        <v>1838</v>
      </c>
      <c r="G754" s="1" t="s">
        <v>2229</v>
      </c>
      <c r="H754" s="1" t="s">
        <v>2230</v>
      </c>
      <c r="J754" s="1" t="s">
        <v>2231</v>
      </c>
      <c r="K754" s="1" t="n">
        <f aca="false">IF(Search!$D$5="",0,IF(AND(OR(Search!$N$5="",ISNUMBER(SEARCH(Search!$N$5,J754))),OR(Search!$N$6="",ISNUMBER(SEARCH(Search!$N$6,J754))),OR(Search!$N$7="",ISNUMBER(SEARCH(Search!$N$7,J754))),OR(Search!$N$8="",ISNUMBER(SEARCH(Search!$N$8,J754)))),1,0))</f>
        <v>0</v>
      </c>
      <c r="L754" s="1" t="n">
        <f aca="false">L753+K754</f>
        <v>0</v>
      </c>
    </row>
    <row r="755" customFormat="false" ht="15" hidden="false" customHeight="true" outlineLevel="0" collapsed="false">
      <c r="A755" s="1" t="s">
        <v>279</v>
      </c>
      <c r="B755" s="1" t="s">
        <v>1221</v>
      </c>
      <c r="C755" s="1" t="n">
        <v>20</v>
      </c>
      <c r="E755" s="1" t="s">
        <v>2228</v>
      </c>
      <c r="F755" s="1" t="s">
        <v>1943</v>
      </c>
      <c r="G755" s="1" t="s">
        <v>2229</v>
      </c>
      <c r="H755" s="1" t="s">
        <v>2230</v>
      </c>
      <c r="J755" s="1" t="s">
        <v>2232</v>
      </c>
      <c r="K755" s="1" t="n">
        <f aca="false">IF(Search!$D$5="",0,IF(AND(OR(Search!$N$5="",ISNUMBER(SEARCH(Search!$N$5,J755))),OR(Search!$N$6="",ISNUMBER(SEARCH(Search!$N$6,J755))),OR(Search!$N$7="",ISNUMBER(SEARCH(Search!$N$7,J755))),OR(Search!$N$8="",ISNUMBER(SEARCH(Search!$N$8,J755)))),1,0))</f>
        <v>0</v>
      </c>
      <c r="L755" s="1" t="n">
        <f aca="false">L754+K755</f>
        <v>0</v>
      </c>
    </row>
    <row r="756" customFormat="false" ht="15" hidden="false" customHeight="true" outlineLevel="0" collapsed="false">
      <c r="A756" s="1" t="s">
        <v>279</v>
      </c>
      <c r="B756" s="1" t="s">
        <v>1221</v>
      </c>
      <c r="C756" s="1" t="n">
        <v>21</v>
      </c>
      <c r="E756" s="1" t="s">
        <v>2228</v>
      </c>
      <c r="F756" s="1" t="s">
        <v>1904</v>
      </c>
      <c r="G756" s="1" t="s">
        <v>2233</v>
      </c>
      <c r="H756" s="1" t="s">
        <v>2234</v>
      </c>
      <c r="J756" s="1" t="s">
        <v>2235</v>
      </c>
      <c r="K756" s="1" t="n">
        <f aca="false">IF(Search!$D$5="",0,IF(AND(OR(Search!$N$5="",ISNUMBER(SEARCH(Search!$N$5,J756))),OR(Search!$N$6="",ISNUMBER(SEARCH(Search!$N$6,J756))),OR(Search!$N$7="",ISNUMBER(SEARCH(Search!$N$7,J756))),OR(Search!$N$8="",ISNUMBER(SEARCH(Search!$N$8,J756)))),1,0))</f>
        <v>0</v>
      </c>
      <c r="L756" s="1" t="n">
        <f aca="false">L755+K756</f>
        <v>0</v>
      </c>
    </row>
    <row r="757" customFormat="false" ht="15" hidden="false" customHeight="true" outlineLevel="0" collapsed="false">
      <c r="A757" s="1" t="s">
        <v>279</v>
      </c>
      <c r="B757" s="1" t="s">
        <v>1221</v>
      </c>
      <c r="C757" s="1" t="n">
        <v>22</v>
      </c>
      <c r="E757" s="1" t="s">
        <v>2228</v>
      </c>
      <c r="F757" s="1" t="s">
        <v>1929</v>
      </c>
      <c r="G757" s="1" t="s">
        <v>2115</v>
      </c>
      <c r="H757" s="1" t="s">
        <v>2236</v>
      </c>
      <c r="J757" s="1" t="s">
        <v>2237</v>
      </c>
      <c r="K757" s="1" t="n">
        <f aca="false">IF(Search!$D$5="",0,IF(AND(OR(Search!$N$5="",ISNUMBER(SEARCH(Search!$N$5,J757))),OR(Search!$N$6="",ISNUMBER(SEARCH(Search!$N$6,J757))),OR(Search!$N$7="",ISNUMBER(SEARCH(Search!$N$7,J757))),OR(Search!$N$8="",ISNUMBER(SEARCH(Search!$N$8,J757)))),1,0))</f>
        <v>0</v>
      </c>
      <c r="L757" s="1" t="n">
        <f aca="false">L756+K757</f>
        <v>0</v>
      </c>
    </row>
    <row r="758" customFormat="false" ht="15" hidden="false" customHeight="true" outlineLevel="0" collapsed="false">
      <c r="A758" s="1" t="s">
        <v>279</v>
      </c>
      <c r="B758" s="1" t="s">
        <v>1221</v>
      </c>
      <c r="C758" s="1" t="n">
        <v>23</v>
      </c>
      <c r="E758" s="1" t="s">
        <v>2228</v>
      </c>
      <c r="F758" s="1" t="s">
        <v>1975</v>
      </c>
      <c r="G758" s="1" t="s">
        <v>2238</v>
      </c>
      <c r="H758" s="1" t="s">
        <v>2239</v>
      </c>
      <c r="J758" s="1" t="s">
        <v>2240</v>
      </c>
      <c r="K758" s="1" t="n">
        <f aca="false">IF(Search!$D$5="",0,IF(AND(OR(Search!$N$5="",ISNUMBER(SEARCH(Search!$N$5,J758))),OR(Search!$N$6="",ISNUMBER(SEARCH(Search!$N$6,J758))),OR(Search!$N$7="",ISNUMBER(SEARCH(Search!$N$7,J758))),OR(Search!$N$8="",ISNUMBER(SEARCH(Search!$N$8,J758)))),1,0))</f>
        <v>0</v>
      </c>
      <c r="L758" s="1" t="n">
        <f aca="false">L757+K758</f>
        <v>0</v>
      </c>
    </row>
    <row r="759" customFormat="false" ht="15" hidden="false" customHeight="true" outlineLevel="0" collapsed="false">
      <c r="A759" s="1" t="s">
        <v>279</v>
      </c>
      <c r="B759" s="1" t="s">
        <v>1221</v>
      </c>
      <c r="C759" s="1" t="n">
        <v>24</v>
      </c>
      <c r="E759" s="1" t="s">
        <v>2228</v>
      </c>
      <c r="F759" s="1" t="s">
        <v>627</v>
      </c>
      <c r="G759" s="1" t="s">
        <v>2241</v>
      </c>
      <c r="H759" s="1" t="s">
        <v>2242</v>
      </c>
      <c r="J759" s="1" t="s">
        <v>2243</v>
      </c>
      <c r="K759" s="1" t="n">
        <f aca="false">IF(Search!$D$5="",0,IF(AND(OR(Search!$N$5="",ISNUMBER(SEARCH(Search!$N$5,J759))),OR(Search!$N$6="",ISNUMBER(SEARCH(Search!$N$6,J759))),OR(Search!$N$7="",ISNUMBER(SEARCH(Search!$N$7,J759))),OR(Search!$N$8="",ISNUMBER(SEARCH(Search!$N$8,J759)))),1,0))</f>
        <v>0</v>
      </c>
      <c r="L759" s="1" t="n">
        <f aca="false">L758+K759</f>
        <v>0</v>
      </c>
    </row>
    <row r="760" customFormat="false" ht="15" hidden="false" customHeight="true" outlineLevel="0" collapsed="false">
      <c r="A760" s="1" t="s">
        <v>279</v>
      </c>
      <c r="B760" s="1" t="s">
        <v>1221</v>
      </c>
      <c r="C760" s="1" t="n">
        <v>25</v>
      </c>
      <c r="E760" s="1" t="s">
        <v>2244</v>
      </c>
      <c r="F760" s="1" t="s">
        <v>1838</v>
      </c>
      <c r="G760" s="1" t="s">
        <v>1398</v>
      </c>
      <c r="H760" s="1" t="s">
        <v>2245</v>
      </c>
      <c r="J760" s="1" t="s">
        <v>2246</v>
      </c>
      <c r="K760" s="1" t="n">
        <f aca="false">IF(Search!$D$5="",0,IF(AND(OR(Search!$N$5="",ISNUMBER(SEARCH(Search!$N$5,J760))),OR(Search!$N$6="",ISNUMBER(SEARCH(Search!$N$6,J760))),OR(Search!$N$7="",ISNUMBER(SEARCH(Search!$N$7,J760))),OR(Search!$N$8="",ISNUMBER(SEARCH(Search!$N$8,J760)))),1,0))</f>
        <v>0</v>
      </c>
      <c r="L760" s="1" t="n">
        <f aca="false">L759+K760</f>
        <v>0</v>
      </c>
    </row>
    <row r="761" customFormat="false" ht="15" hidden="false" customHeight="true" outlineLevel="0" collapsed="false">
      <c r="A761" s="1" t="s">
        <v>279</v>
      </c>
      <c r="B761" s="1" t="s">
        <v>1221</v>
      </c>
      <c r="C761" s="1" t="n">
        <v>26</v>
      </c>
      <c r="E761" s="1" t="s">
        <v>2244</v>
      </c>
      <c r="F761" s="1" t="s">
        <v>1943</v>
      </c>
      <c r="G761" s="1" t="s">
        <v>2247</v>
      </c>
      <c r="H761" s="1" t="s">
        <v>2248</v>
      </c>
      <c r="J761" s="1" t="s">
        <v>2249</v>
      </c>
      <c r="K761" s="1" t="n">
        <f aca="false">IF(Search!$D$5="",0,IF(AND(OR(Search!$N$5="",ISNUMBER(SEARCH(Search!$N$5,J761))),OR(Search!$N$6="",ISNUMBER(SEARCH(Search!$N$6,J761))),OR(Search!$N$7="",ISNUMBER(SEARCH(Search!$N$7,J761))),OR(Search!$N$8="",ISNUMBER(SEARCH(Search!$N$8,J761)))),1,0))</f>
        <v>0</v>
      </c>
      <c r="L761" s="1" t="n">
        <f aca="false">L760+K761</f>
        <v>0</v>
      </c>
    </row>
    <row r="762" customFormat="false" ht="15" hidden="false" customHeight="true" outlineLevel="0" collapsed="false">
      <c r="A762" s="1" t="s">
        <v>279</v>
      </c>
      <c r="B762" s="1" t="s">
        <v>1221</v>
      </c>
      <c r="C762" s="1" t="n">
        <v>27</v>
      </c>
      <c r="E762" s="1" t="s">
        <v>2244</v>
      </c>
      <c r="F762" s="1" t="s">
        <v>1904</v>
      </c>
      <c r="G762" s="1" t="s">
        <v>1603</v>
      </c>
      <c r="H762" s="1" t="s">
        <v>1604</v>
      </c>
      <c r="J762" s="1" t="s">
        <v>2250</v>
      </c>
      <c r="K762" s="1" t="n">
        <f aca="false">IF(Search!$D$5="",0,IF(AND(OR(Search!$N$5="",ISNUMBER(SEARCH(Search!$N$5,J762))),OR(Search!$N$6="",ISNUMBER(SEARCH(Search!$N$6,J762))),OR(Search!$N$7="",ISNUMBER(SEARCH(Search!$N$7,J762))),OR(Search!$N$8="",ISNUMBER(SEARCH(Search!$N$8,J762)))),1,0))</f>
        <v>0</v>
      </c>
      <c r="L762" s="1" t="n">
        <f aca="false">L761+K762</f>
        <v>0</v>
      </c>
    </row>
    <row r="763" customFormat="false" ht="15" hidden="false" customHeight="true" outlineLevel="0" collapsed="false">
      <c r="A763" s="1" t="s">
        <v>279</v>
      </c>
      <c r="B763" s="1" t="s">
        <v>1221</v>
      </c>
      <c r="C763" s="1" t="n">
        <v>28</v>
      </c>
      <c r="E763" s="1" t="s">
        <v>2244</v>
      </c>
      <c r="F763" s="1" t="s">
        <v>1929</v>
      </c>
      <c r="G763" s="1" t="s">
        <v>1654</v>
      </c>
      <c r="H763" s="1" t="s">
        <v>1655</v>
      </c>
      <c r="J763" s="1" t="s">
        <v>2251</v>
      </c>
      <c r="K763" s="1" t="n">
        <f aca="false">IF(Search!$D$5="",0,IF(AND(OR(Search!$N$5="",ISNUMBER(SEARCH(Search!$N$5,J763))),OR(Search!$N$6="",ISNUMBER(SEARCH(Search!$N$6,J763))),OR(Search!$N$7="",ISNUMBER(SEARCH(Search!$N$7,J763))),OR(Search!$N$8="",ISNUMBER(SEARCH(Search!$N$8,J763)))),1,0))</f>
        <v>0</v>
      </c>
      <c r="L763" s="1" t="n">
        <f aca="false">L762+K763</f>
        <v>0</v>
      </c>
    </row>
    <row r="764" customFormat="false" ht="15" hidden="false" customHeight="true" outlineLevel="0" collapsed="false">
      <c r="A764" s="1" t="s">
        <v>279</v>
      </c>
      <c r="B764" s="1" t="s">
        <v>1221</v>
      </c>
      <c r="C764" s="1" t="n">
        <v>29</v>
      </c>
      <c r="E764" s="1" t="s">
        <v>2244</v>
      </c>
      <c r="F764" s="1" t="s">
        <v>1975</v>
      </c>
      <c r="G764" s="1" t="s">
        <v>2015</v>
      </c>
      <c r="H764" s="1" t="s">
        <v>2016</v>
      </c>
      <c r="J764" s="1" t="s">
        <v>2252</v>
      </c>
      <c r="K764" s="1" t="n">
        <f aca="false">IF(Search!$D$5="",0,IF(AND(OR(Search!$N$5="",ISNUMBER(SEARCH(Search!$N$5,J764))),OR(Search!$N$6="",ISNUMBER(SEARCH(Search!$N$6,J764))),OR(Search!$N$7="",ISNUMBER(SEARCH(Search!$N$7,J764))),OR(Search!$N$8="",ISNUMBER(SEARCH(Search!$N$8,J764)))),1,0))</f>
        <v>0</v>
      </c>
      <c r="L764" s="1" t="n">
        <f aca="false">L763+K764</f>
        <v>0</v>
      </c>
    </row>
    <row r="765" customFormat="false" ht="15" hidden="false" customHeight="true" outlineLevel="0" collapsed="false">
      <c r="A765" s="1" t="s">
        <v>279</v>
      </c>
      <c r="B765" s="1" t="s">
        <v>1221</v>
      </c>
      <c r="C765" s="1" t="n">
        <v>30</v>
      </c>
      <c r="E765" s="1" t="s">
        <v>2244</v>
      </c>
      <c r="F765" s="1" t="s">
        <v>627</v>
      </c>
      <c r="G765" s="1" t="s">
        <v>2253</v>
      </c>
      <c r="H765" s="1" t="s">
        <v>2254</v>
      </c>
      <c r="J765" s="1" t="s">
        <v>2255</v>
      </c>
      <c r="K765" s="1" t="n">
        <f aca="false">IF(Search!$D$5="",0,IF(AND(OR(Search!$N$5="",ISNUMBER(SEARCH(Search!$N$5,J765))),OR(Search!$N$6="",ISNUMBER(SEARCH(Search!$N$6,J765))),OR(Search!$N$7="",ISNUMBER(SEARCH(Search!$N$7,J765))),OR(Search!$N$8="",ISNUMBER(SEARCH(Search!$N$8,J765)))),1,0))</f>
        <v>0</v>
      </c>
      <c r="L765" s="1" t="n">
        <f aca="false">L764+K765</f>
        <v>0</v>
      </c>
    </row>
    <row r="766" customFormat="false" ht="15" hidden="false" customHeight="true" outlineLevel="0" collapsed="false">
      <c r="A766" s="1" t="s">
        <v>279</v>
      </c>
      <c r="B766" s="1" t="s">
        <v>1221</v>
      </c>
      <c r="C766" s="1" t="n">
        <v>31</v>
      </c>
      <c r="E766" s="1" t="s">
        <v>2244</v>
      </c>
      <c r="F766" s="1" t="s">
        <v>2015</v>
      </c>
      <c r="G766" s="1" t="s">
        <v>2256</v>
      </c>
      <c r="H766" s="1" t="s">
        <v>2257</v>
      </c>
      <c r="J766" s="1" t="s">
        <v>2258</v>
      </c>
      <c r="K766" s="1" t="n">
        <f aca="false">IF(Search!$D$5="",0,IF(AND(OR(Search!$N$5="",ISNUMBER(SEARCH(Search!$N$5,J766))),OR(Search!$N$6="",ISNUMBER(SEARCH(Search!$N$6,J766))),OR(Search!$N$7="",ISNUMBER(SEARCH(Search!$N$7,J766))),OR(Search!$N$8="",ISNUMBER(SEARCH(Search!$N$8,J766)))),1,0))</f>
        <v>0</v>
      </c>
      <c r="L766" s="1" t="n">
        <f aca="false">L765+K766</f>
        <v>0</v>
      </c>
    </row>
    <row r="767" customFormat="false" ht="15" hidden="false" customHeight="true" outlineLevel="0" collapsed="false">
      <c r="A767" s="1" t="s">
        <v>279</v>
      </c>
      <c r="B767" s="1" t="s">
        <v>1221</v>
      </c>
      <c r="C767" s="1" t="n">
        <v>32</v>
      </c>
      <c r="E767" s="1" t="s">
        <v>2259</v>
      </c>
      <c r="F767" s="1" t="s">
        <v>1943</v>
      </c>
      <c r="G767" s="1" t="s">
        <v>2260</v>
      </c>
      <c r="H767" s="1" t="s">
        <v>2261</v>
      </c>
      <c r="J767" s="1" t="s">
        <v>2262</v>
      </c>
      <c r="K767" s="1" t="n">
        <f aca="false">IF(Search!$D$5="",0,IF(AND(OR(Search!$N$5="",ISNUMBER(SEARCH(Search!$N$5,J767))),OR(Search!$N$6="",ISNUMBER(SEARCH(Search!$N$6,J767))),OR(Search!$N$7="",ISNUMBER(SEARCH(Search!$N$7,J767))),OR(Search!$N$8="",ISNUMBER(SEARCH(Search!$N$8,J767)))),1,0))</f>
        <v>0</v>
      </c>
      <c r="L767" s="1" t="n">
        <f aca="false">L766+K767</f>
        <v>0</v>
      </c>
    </row>
    <row r="768" customFormat="false" ht="15" hidden="false" customHeight="true" outlineLevel="0" collapsed="false">
      <c r="A768" s="1" t="s">
        <v>279</v>
      </c>
      <c r="B768" s="1" t="s">
        <v>1221</v>
      </c>
      <c r="C768" s="1" t="n">
        <v>33</v>
      </c>
      <c r="E768" s="1" t="s">
        <v>2259</v>
      </c>
      <c r="F768" s="1" t="s">
        <v>1975</v>
      </c>
      <c r="G768" s="1" t="s">
        <v>1607</v>
      </c>
      <c r="H768" s="1" t="s">
        <v>1608</v>
      </c>
      <c r="J768" s="1" t="s">
        <v>2263</v>
      </c>
      <c r="K768" s="1" t="n">
        <f aca="false">IF(Search!$D$5="",0,IF(AND(OR(Search!$N$5="",ISNUMBER(SEARCH(Search!$N$5,J768))),OR(Search!$N$6="",ISNUMBER(SEARCH(Search!$N$6,J768))),OR(Search!$N$7="",ISNUMBER(SEARCH(Search!$N$7,J768))),OR(Search!$N$8="",ISNUMBER(SEARCH(Search!$N$8,J768)))),1,0))</f>
        <v>0</v>
      </c>
      <c r="L768" s="1" t="n">
        <f aca="false">L767+K768</f>
        <v>0</v>
      </c>
    </row>
    <row r="769" customFormat="false" ht="15" hidden="false" customHeight="true" outlineLevel="0" collapsed="false">
      <c r="A769" s="1" t="s">
        <v>279</v>
      </c>
      <c r="B769" s="1" t="s">
        <v>1221</v>
      </c>
      <c r="C769" s="1" t="n">
        <v>34</v>
      </c>
      <c r="E769" s="1" t="s">
        <v>2259</v>
      </c>
      <c r="F769" s="1" t="s">
        <v>2015</v>
      </c>
      <c r="G769" s="1" t="s">
        <v>2264</v>
      </c>
      <c r="H769" s="1" t="s">
        <v>2265</v>
      </c>
      <c r="J769" s="1" t="s">
        <v>2266</v>
      </c>
      <c r="K769" s="1" t="n">
        <f aca="false">IF(Search!$D$5="",0,IF(AND(OR(Search!$N$5="",ISNUMBER(SEARCH(Search!$N$5,J769))),OR(Search!$N$6="",ISNUMBER(SEARCH(Search!$N$6,J769))),OR(Search!$N$7="",ISNUMBER(SEARCH(Search!$N$7,J769))),OR(Search!$N$8="",ISNUMBER(SEARCH(Search!$N$8,J769)))),1,0))</f>
        <v>0</v>
      </c>
      <c r="L769" s="1" t="n">
        <f aca="false">L768+K769</f>
        <v>0</v>
      </c>
    </row>
    <row r="770" customFormat="false" ht="15" hidden="false" customHeight="true" outlineLevel="0" collapsed="false">
      <c r="A770" s="1" t="s">
        <v>279</v>
      </c>
      <c r="B770" s="1" t="s">
        <v>1221</v>
      </c>
      <c r="C770" s="1" t="n">
        <v>35</v>
      </c>
      <c r="E770" s="1" t="s">
        <v>2267</v>
      </c>
      <c r="F770" s="1" t="s">
        <v>1943</v>
      </c>
      <c r="G770" s="1" t="s">
        <v>2025</v>
      </c>
      <c r="H770" s="1" t="s">
        <v>2026</v>
      </c>
      <c r="J770" s="1" t="s">
        <v>2268</v>
      </c>
      <c r="K770" s="1" t="n">
        <f aca="false">IF(Search!$D$5="",0,IF(AND(OR(Search!$N$5="",ISNUMBER(SEARCH(Search!$N$5,J770))),OR(Search!$N$6="",ISNUMBER(SEARCH(Search!$N$6,J770))),OR(Search!$N$7="",ISNUMBER(SEARCH(Search!$N$7,J770))),OR(Search!$N$8="",ISNUMBER(SEARCH(Search!$N$8,J770)))),1,0))</f>
        <v>0</v>
      </c>
      <c r="L770" s="1" t="n">
        <f aca="false">L769+K770</f>
        <v>0</v>
      </c>
    </row>
    <row r="771" customFormat="false" ht="15" hidden="false" customHeight="true" outlineLevel="0" collapsed="false">
      <c r="A771" s="1" t="s">
        <v>279</v>
      </c>
      <c r="B771" s="1" t="s">
        <v>1221</v>
      </c>
      <c r="C771" s="1" t="n">
        <v>36</v>
      </c>
      <c r="E771" s="1" t="s">
        <v>2267</v>
      </c>
      <c r="F771" s="1" t="s">
        <v>1904</v>
      </c>
      <c r="G771" s="1" t="s">
        <v>2041</v>
      </c>
      <c r="H771" s="1" t="s">
        <v>2042</v>
      </c>
      <c r="J771" s="1" t="s">
        <v>2269</v>
      </c>
      <c r="K771" s="1" t="n">
        <f aca="false">IF(Search!$D$5="",0,IF(AND(OR(Search!$N$5="",ISNUMBER(SEARCH(Search!$N$5,J771))),OR(Search!$N$6="",ISNUMBER(SEARCH(Search!$N$6,J771))),OR(Search!$N$7="",ISNUMBER(SEARCH(Search!$N$7,J771))),OR(Search!$N$8="",ISNUMBER(SEARCH(Search!$N$8,J771)))),1,0))</f>
        <v>0</v>
      </c>
      <c r="L771" s="1" t="n">
        <f aca="false">L770+K771</f>
        <v>0</v>
      </c>
    </row>
    <row r="772" customFormat="false" ht="15" hidden="false" customHeight="true" outlineLevel="0" collapsed="false">
      <c r="A772" s="1" t="s">
        <v>279</v>
      </c>
      <c r="B772" s="1" t="s">
        <v>1221</v>
      </c>
      <c r="C772" s="1" t="n">
        <v>37</v>
      </c>
      <c r="E772" s="1" t="s">
        <v>2267</v>
      </c>
      <c r="F772" s="1" t="s">
        <v>1929</v>
      </c>
      <c r="G772" s="1" t="s">
        <v>2058</v>
      </c>
      <c r="H772" s="1" t="s">
        <v>2059</v>
      </c>
      <c r="J772" s="1" t="s">
        <v>2270</v>
      </c>
      <c r="K772" s="1" t="n">
        <f aca="false">IF(Search!$D$5="",0,IF(AND(OR(Search!$N$5="",ISNUMBER(SEARCH(Search!$N$5,J772))),OR(Search!$N$6="",ISNUMBER(SEARCH(Search!$N$6,J772))),OR(Search!$N$7="",ISNUMBER(SEARCH(Search!$N$7,J772))),OR(Search!$N$8="",ISNUMBER(SEARCH(Search!$N$8,J772)))),1,0))</f>
        <v>0</v>
      </c>
      <c r="L772" s="1" t="n">
        <f aca="false">L771+K772</f>
        <v>0</v>
      </c>
    </row>
    <row r="773" customFormat="false" ht="15" hidden="false" customHeight="true" outlineLevel="0" collapsed="false">
      <c r="A773" s="1" t="s">
        <v>279</v>
      </c>
      <c r="B773" s="1" t="s">
        <v>1221</v>
      </c>
      <c r="C773" s="1" t="n">
        <v>38</v>
      </c>
      <c r="E773" s="1" t="s">
        <v>2267</v>
      </c>
      <c r="F773" s="1" t="s">
        <v>1975</v>
      </c>
      <c r="G773" s="1" t="s">
        <v>1745</v>
      </c>
      <c r="H773" s="1" t="s">
        <v>1746</v>
      </c>
      <c r="J773" s="1" t="s">
        <v>2271</v>
      </c>
      <c r="K773" s="1" t="n">
        <f aca="false">IF(Search!$D$5="",0,IF(AND(OR(Search!$N$5="",ISNUMBER(SEARCH(Search!$N$5,J773))),OR(Search!$N$6="",ISNUMBER(SEARCH(Search!$N$6,J773))),OR(Search!$N$7="",ISNUMBER(SEARCH(Search!$N$7,J773))),OR(Search!$N$8="",ISNUMBER(SEARCH(Search!$N$8,J773)))),1,0))</f>
        <v>0</v>
      </c>
      <c r="L773" s="1" t="n">
        <f aca="false">L772+K773</f>
        <v>0</v>
      </c>
    </row>
    <row r="774" customFormat="false" ht="15" hidden="false" customHeight="true" outlineLevel="0" collapsed="false">
      <c r="A774" s="1" t="s">
        <v>279</v>
      </c>
      <c r="B774" s="1" t="s">
        <v>1221</v>
      </c>
      <c r="C774" s="1" t="n">
        <v>39</v>
      </c>
      <c r="E774" s="1" t="s">
        <v>2267</v>
      </c>
      <c r="F774" s="1" t="s">
        <v>627</v>
      </c>
      <c r="G774" s="1" t="s">
        <v>2064</v>
      </c>
      <c r="H774" s="1" t="s">
        <v>2065</v>
      </c>
      <c r="J774" s="1" t="s">
        <v>2272</v>
      </c>
      <c r="K774" s="1" t="n">
        <f aca="false">IF(Search!$D$5="",0,IF(AND(OR(Search!$N$5="",ISNUMBER(SEARCH(Search!$N$5,J774))),OR(Search!$N$6="",ISNUMBER(SEARCH(Search!$N$6,J774))),OR(Search!$N$7="",ISNUMBER(SEARCH(Search!$N$7,J774))),OR(Search!$N$8="",ISNUMBER(SEARCH(Search!$N$8,J774)))),1,0))</f>
        <v>0</v>
      </c>
      <c r="L774" s="1" t="n">
        <f aca="false">L773+K774</f>
        <v>0</v>
      </c>
    </row>
    <row r="775" customFormat="false" ht="15" hidden="false" customHeight="true" outlineLevel="0" collapsed="false">
      <c r="A775" s="1" t="s">
        <v>279</v>
      </c>
      <c r="B775" s="1" t="s">
        <v>1221</v>
      </c>
      <c r="C775" s="1" t="n">
        <v>40</v>
      </c>
      <c r="E775" s="1" t="s">
        <v>2273</v>
      </c>
      <c r="F775" s="1" t="s">
        <v>2015</v>
      </c>
      <c r="G775" s="1" t="s">
        <v>2067</v>
      </c>
      <c r="H775" s="1" t="s">
        <v>2068</v>
      </c>
      <c r="J775" s="1" t="s">
        <v>2274</v>
      </c>
      <c r="K775" s="1" t="n">
        <f aca="false">IF(Search!$D$5="",0,IF(AND(OR(Search!$N$5="",ISNUMBER(SEARCH(Search!$N$5,J775))),OR(Search!$N$6="",ISNUMBER(SEARCH(Search!$N$6,J775))),OR(Search!$N$7="",ISNUMBER(SEARCH(Search!$N$7,J775))),OR(Search!$N$8="",ISNUMBER(SEARCH(Search!$N$8,J775)))),1,0))</f>
        <v>0</v>
      </c>
      <c r="L775" s="1" t="n">
        <f aca="false">L774+K775</f>
        <v>0</v>
      </c>
    </row>
    <row r="776" customFormat="false" ht="15" hidden="false" customHeight="true" outlineLevel="0" collapsed="false">
      <c r="A776" s="1" t="s">
        <v>279</v>
      </c>
      <c r="B776" s="1" t="s">
        <v>1221</v>
      </c>
      <c r="C776" s="1" t="n">
        <v>41</v>
      </c>
      <c r="E776" s="1" t="s">
        <v>2275</v>
      </c>
      <c r="F776" s="1" t="s">
        <v>1943</v>
      </c>
      <c r="G776" s="1" t="s">
        <v>2276</v>
      </c>
      <c r="H776" s="1" t="s">
        <v>782</v>
      </c>
      <c r="J776" s="1" t="s">
        <v>2277</v>
      </c>
      <c r="K776" s="1" t="n">
        <f aca="false">IF(Search!$D$5="",0,IF(AND(OR(Search!$N$5="",ISNUMBER(SEARCH(Search!$N$5,J776))),OR(Search!$N$6="",ISNUMBER(SEARCH(Search!$N$6,J776))),OR(Search!$N$7="",ISNUMBER(SEARCH(Search!$N$7,J776))),OR(Search!$N$8="",ISNUMBER(SEARCH(Search!$N$8,J776)))),1,0))</f>
        <v>0</v>
      </c>
      <c r="L776" s="1" t="n">
        <f aca="false">L775+K776</f>
        <v>0</v>
      </c>
    </row>
    <row r="777" customFormat="false" ht="15" hidden="false" customHeight="true" outlineLevel="0" collapsed="false">
      <c r="A777" s="1" t="s">
        <v>279</v>
      </c>
      <c r="B777" s="1" t="s">
        <v>1221</v>
      </c>
      <c r="C777" s="1" t="n">
        <v>42</v>
      </c>
      <c r="E777" s="1" t="s">
        <v>2275</v>
      </c>
      <c r="F777" s="1" t="s">
        <v>1929</v>
      </c>
      <c r="G777" s="1" t="s">
        <v>2278</v>
      </c>
      <c r="H777" s="1" t="s">
        <v>2279</v>
      </c>
      <c r="J777" s="1" t="s">
        <v>2280</v>
      </c>
      <c r="K777" s="1" t="n">
        <f aca="false">IF(Search!$D$5="",0,IF(AND(OR(Search!$N$5="",ISNUMBER(SEARCH(Search!$N$5,J777))),OR(Search!$N$6="",ISNUMBER(SEARCH(Search!$N$6,J777))),OR(Search!$N$7="",ISNUMBER(SEARCH(Search!$N$7,J777))),OR(Search!$N$8="",ISNUMBER(SEARCH(Search!$N$8,J777)))),1,0))</f>
        <v>0</v>
      </c>
      <c r="L777" s="1" t="n">
        <f aca="false">L776+K777</f>
        <v>0</v>
      </c>
    </row>
    <row r="778" customFormat="false" ht="15" hidden="false" customHeight="true" outlineLevel="0" collapsed="false">
      <c r="A778" s="1" t="s">
        <v>279</v>
      </c>
      <c r="B778" s="1" t="s">
        <v>1221</v>
      </c>
      <c r="C778" s="1" t="n">
        <v>43</v>
      </c>
      <c r="E778" s="1" t="s">
        <v>2275</v>
      </c>
      <c r="F778" s="1" t="s">
        <v>1975</v>
      </c>
      <c r="G778" s="1" t="s">
        <v>588</v>
      </c>
      <c r="H778" s="1" t="s">
        <v>2050</v>
      </c>
      <c r="J778" s="1" t="s">
        <v>2281</v>
      </c>
      <c r="K778" s="1" t="n">
        <f aca="false">IF(Search!$D$5="",0,IF(AND(OR(Search!$N$5="",ISNUMBER(SEARCH(Search!$N$5,J778))),OR(Search!$N$6="",ISNUMBER(SEARCH(Search!$N$6,J778))),OR(Search!$N$7="",ISNUMBER(SEARCH(Search!$N$7,J778))),OR(Search!$N$8="",ISNUMBER(SEARCH(Search!$N$8,J778)))),1,0))</f>
        <v>0</v>
      </c>
      <c r="L778" s="1" t="n">
        <f aca="false">L777+K778</f>
        <v>0</v>
      </c>
    </row>
    <row r="779" customFormat="false" ht="15" hidden="false" customHeight="true" outlineLevel="0" collapsed="false">
      <c r="A779" s="1" t="s">
        <v>279</v>
      </c>
      <c r="B779" s="1" t="s">
        <v>1221</v>
      </c>
      <c r="C779" s="1" t="n">
        <v>44</v>
      </c>
      <c r="E779" s="1" t="s">
        <v>2275</v>
      </c>
      <c r="F779" s="1" t="s">
        <v>627</v>
      </c>
      <c r="G779" s="1" t="s">
        <v>2282</v>
      </c>
      <c r="H779" s="1" t="s">
        <v>2283</v>
      </c>
      <c r="J779" s="1" t="s">
        <v>2284</v>
      </c>
      <c r="K779" s="1" t="n">
        <f aca="false">IF(Search!$D$5="",0,IF(AND(OR(Search!$N$5="",ISNUMBER(SEARCH(Search!$N$5,J779))),OR(Search!$N$6="",ISNUMBER(SEARCH(Search!$N$6,J779))),OR(Search!$N$7="",ISNUMBER(SEARCH(Search!$N$7,J779))),OR(Search!$N$8="",ISNUMBER(SEARCH(Search!$N$8,J779)))),1,0))</f>
        <v>0</v>
      </c>
      <c r="L779" s="1" t="n">
        <f aca="false">L778+K779</f>
        <v>0</v>
      </c>
    </row>
    <row r="780" customFormat="false" ht="15" hidden="false" customHeight="true" outlineLevel="0" collapsed="false">
      <c r="A780" s="1" t="s">
        <v>279</v>
      </c>
      <c r="B780" s="1" t="s">
        <v>1221</v>
      </c>
      <c r="C780" s="1" t="n">
        <v>45</v>
      </c>
      <c r="E780" s="1" t="s">
        <v>2275</v>
      </c>
      <c r="F780" s="1" t="s">
        <v>2061</v>
      </c>
      <c r="G780" s="1" t="s">
        <v>2285</v>
      </c>
      <c r="H780" s="1" t="s">
        <v>2286</v>
      </c>
      <c r="J780" s="1" t="s">
        <v>2287</v>
      </c>
      <c r="K780" s="1" t="n">
        <f aca="false">IF(Search!$D$5="",0,IF(AND(OR(Search!$N$5="",ISNUMBER(SEARCH(Search!$N$5,J780))),OR(Search!$N$6="",ISNUMBER(SEARCH(Search!$N$6,J780))),OR(Search!$N$7="",ISNUMBER(SEARCH(Search!$N$7,J780))),OR(Search!$N$8="",ISNUMBER(SEARCH(Search!$N$8,J780)))),1,0))</f>
        <v>0</v>
      </c>
      <c r="L780" s="1" t="n">
        <f aca="false">L779+K780</f>
        <v>0</v>
      </c>
    </row>
    <row r="781" customFormat="false" ht="15" hidden="false" customHeight="true" outlineLevel="0" collapsed="false">
      <c r="A781" s="1" t="s">
        <v>279</v>
      </c>
      <c r="B781" s="1" t="s">
        <v>1221</v>
      </c>
      <c r="C781" s="1" t="n">
        <v>46</v>
      </c>
      <c r="E781" s="1" t="s">
        <v>2288</v>
      </c>
      <c r="F781" s="1" t="s">
        <v>1838</v>
      </c>
      <c r="G781" s="1" t="s">
        <v>2015</v>
      </c>
      <c r="H781" s="1" t="s">
        <v>2016</v>
      </c>
      <c r="J781" s="1" t="s">
        <v>2289</v>
      </c>
      <c r="K781" s="1" t="n">
        <f aca="false">IF(Search!$D$5="",0,IF(AND(OR(Search!$N$5="",ISNUMBER(SEARCH(Search!$N$5,J781))),OR(Search!$N$6="",ISNUMBER(SEARCH(Search!$N$6,J781))),OR(Search!$N$7="",ISNUMBER(SEARCH(Search!$N$7,J781))),OR(Search!$N$8="",ISNUMBER(SEARCH(Search!$N$8,J781)))),1,0))</f>
        <v>0</v>
      </c>
      <c r="L781" s="1" t="n">
        <f aca="false">L780+K781</f>
        <v>0</v>
      </c>
    </row>
    <row r="782" customFormat="false" ht="15" hidden="false" customHeight="true" outlineLevel="0" collapsed="false">
      <c r="A782" s="1" t="s">
        <v>279</v>
      </c>
      <c r="B782" s="1" t="s">
        <v>1221</v>
      </c>
      <c r="C782" s="1" t="n">
        <v>47</v>
      </c>
      <c r="E782" s="1" t="s">
        <v>2288</v>
      </c>
      <c r="F782" s="1" t="s">
        <v>1929</v>
      </c>
      <c r="G782" s="1" t="s">
        <v>2290</v>
      </c>
      <c r="H782" s="1" t="s">
        <v>2291</v>
      </c>
      <c r="J782" s="1" t="s">
        <v>2292</v>
      </c>
      <c r="K782" s="1" t="n">
        <f aca="false">IF(Search!$D$5="",0,IF(AND(OR(Search!$N$5="",ISNUMBER(SEARCH(Search!$N$5,J782))),OR(Search!$N$6="",ISNUMBER(SEARCH(Search!$N$6,J782))),OR(Search!$N$7="",ISNUMBER(SEARCH(Search!$N$7,J782))),OR(Search!$N$8="",ISNUMBER(SEARCH(Search!$N$8,J782)))),1,0))</f>
        <v>0</v>
      </c>
      <c r="L782" s="1" t="n">
        <f aca="false">L781+K782</f>
        <v>0</v>
      </c>
    </row>
    <row r="783" customFormat="false" ht="15" hidden="false" customHeight="true" outlineLevel="0" collapsed="false">
      <c r="A783" s="1" t="s">
        <v>279</v>
      </c>
      <c r="B783" s="1" t="s">
        <v>1221</v>
      </c>
      <c r="C783" s="1" t="n">
        <v>48</v>
      </c>
      <c r="E783" s="1" t="s">
        <v>2288</v>
      </c>
      <c r="F783" s="1" t="s">
        <v>1975</v>
      </c>
      <c r="G783" s="1" t="s">
        <v>588</v>
      </c>
      <c r="H783" s="1" t="s">
        <v>2050</v>
      </c>
      <c r="J783" s="1" t="s">
        <v>2293</v>
      </c>
      <c r="K783" s="1" t="n">
        <f aca="false">IF(Search!$D$5="",0,IF(AND(OR(Search!$N$5="",ISNUMBER(SEARCH(Search!$N$5,J783))),OR(Search!$N$6="",ISNUMBER(SEARCH(Search!$N$6,J783))),OR(Search!$N$7="",ISNUMBER(SEARCH(Search!$N$7,J783))),OR(Search!$N$8="",ISNUMBER(SEARCH(Search!$N$8,J783)))),1,0))</f>
        <v>0</v>
      </c>
      <c r="L783" s="1" t="n">
        <f aca="false">L782+K783</f>
        <v>0</v>
      </c>
    </row>
    <row r="784" customFormat="false" ht="15" hidden="false" customHeight="true" outlineLevel="0" collapsed="false">
      <c r="A784" s="1" t="s">
        <v>279</v>
      </c>
      <c r="B784" s="1" t="s">
        <v>1221</v>
      </c>
      <c r="C784" s="1" t="n">
        <v>49</v>
      </c>
      <c r="E784" s="1" t="s">
        <v>2288</v>
      </c>
      <c r="F784" s="1" t="s">
        <v>627</v>
      </c>
      <c r="G784" s="1" t="s">
        <v>2282</v>
      </c>
      <c r="H784" s="1" t="s">
        <v>2283</v>
      </c>
      <c r="J784" s="1" t="s">
        <v>2294</v>
      </c>
      <c r="K784" s="1" t="n">
        <f aca="false">IF(Search!$D$5="",0,IF(AND(OR(Search!$N$5="",ISNUMBER(SEARCH(Search!$N$5,J784))),OR(Search!$N$6="",ISNUMBER(SEARCH(Search!$N$6,J784))),OR(Search!$N$7="",ISNUMBER(SEARCH(Search!$N$7,J784))),OR(Search!$N$8="",ISNUMBER(SEARCH(Search!$N$8,J784)))),1,0))</f>
        <v>0</v>
      </c>
      <c r="L784" s="1" t="n">
        <f aca="false">L783+K784</f>
        <v>0</v>
      </c>
    </row>
    <row r="785" customFormat="false" ht="15" hidden="false" customHeight="true" outlineLevel="0" collapsed="false">
      <c r="A785" s="1" t="s">
        <v>279</v>
      </c>
      <c r="B785" s="1" t="s">
        <v>1221</v>
      </c>
      <c r="C785" s="1" t="n">
        <v>50</v>
      </c>
      <c r="E785" s="1" t="s">
        <v>2288</v>
      </c>
      <c r="F785" s="1" t="s">
        <v>2061</v>
      </c>
      <c r="G785" s="1" t="s">
        <v>2295</v>
      </c>
      <c r="H785" s="1" t="s">
        <v>2296</v>
      </c>
      <c r="J785" s="1" t="s">
        <v>2297</v>
      </c>
      <c r="K785" s="1" t="n">
        <f aca="false">IF(Search!$D$5="",0,IF(AND(OR(Search!$N$5="",ISNUMBER(SEARCH(Search!$N$5,J785))),OR(Search!$N$6="",ISNUMBER(SEARCH(Search!$N$6,J785))),OR(Search!$N$7="",ISNUMBER(SEARCH(Search!$N$7,J785))),OR(Search!$N$8="",ISNUMBER(SEARCH(Search!$N$8,J785)))),1,0))</f>
        <v>0</v>
      </c>
      <c r="L785" s="1" t="n">
        <f aca="false">L784+K785</f>
        <v>0</v>
      </c>
    </row>
    <row r="786" customFormat="false" ht="15" hidden="false" customHeight="true" outlineLevel="0" collapsed="false">
      <c r="A786" s="1" t="s">
        <v>279</v>
      </c>
      <c r="B786" s="1" t="s">
        <v>1221</v>
      </c>
      <c r="C786" s="1" t="n">
        <v>51</v>
      </c>
      <c r="E786" s="1" t="s">
        <v>2298</v>
      </c>
      <c r="F786" s="1" t="s">
        <v>1929</v>
      </c>
      <c r="G786" s="1" t="s">
        <v>2299</v>
      </c>
      <c r="H786" s="1" t="s">
        <v>2300</v>
      </c>
      <c r="J786" s="1" t="s">
        <v>2301</v>
      </c>
      <c r="K786" s="1" t="n">
        <f aca="false">IF(Search!$D$5="",0,IF(AND(OR(Search!$N$5="",ISNUMBER(SEARCH(Search!$N$5,J786))),OR(Search!$N$6="",ISNUMBER(SEARCH(Search!$N$6,J786))),OR(Search!$N$7="",ISNUMBER(SEARCH(Search!$N$7,J786))),OR(Search!$N$8="",ISNUMBER(SEARCH(Search!$N$8,J786)))),1,0))</f>
        <v>0</v>
      </c>
      <c r="L786" s="1" t="n">
        <f aca="false">L785+K786</f>
        <v>0</v>
      </c>
    </row>
    <row r="787" customFormat="false" ht="15" hidden="false" customHeight="true" outlineLevel="0" collapsed="false">
      <c r="A787" s="1" t="s">
        <v>279</v>
      </c>
      <c r="B787" s="1" t="s">
        <v>1221</v>
      </c>
      <c r="C787" s="1" t="n">
        <v>52</v>
      </c>
      <c r="E787" s="1" t="s">
        <v>2298</v>
      </c>
      <c r="F787" s="1" t="s">
        <v>1975</v>
      </c>
      <c r="G787" s="1" t="s">
        <v>2302</v>
      </c>
      <c r="H787" s="1" t="s">
        <v>2303</v>
      </c>
      <c r="J787" s="1" t="s">
        <v>2304</v>
      </c>
      <c r="K787" s="1" t="n">
        <f aca="false">IF(Search!$D$5="",0,IF(AND(OR(Search!$N$5="",ISNUMBER(SEARCH(Search!$N$5,J787))),OR(Search!$N$6="",ISNUMBER(SEARCH(Search!$N$6,J787))),OR(Search!$N$7="",ISNUMBER(SEARCH(Search!$N$7,J787))),OR(Search!$N$8="",ISNUMBER(SEARCH(Search!$N$8,J787)))),1,0))</f>
        <v>0</v>
      </c>
      <c r="L787" s="1" t="n">
        <f aca="false">L786+K787</f>
        <v>0</v>
      </c>
    </row>
    <row r="788" customFormat="false" ht="15" hidden="false" customHeight="true" outlineLevel="0" collapsed="false">
      <c r="A788" s="1" t="s">
        <v>279</v>
      </c>
      <c r="B788" s="1" t="s">
        <v>1221</v>
      </c>
      <c r="C788" s="1" t="n">
        <v>53</v>
      </c>
      <c r="E788" s="1" t="s">
        <v>2298</v>
      </c>
      <c r="F788" s="1" t="s">
        <v>627</v>
      </c>
      <c r="G788" s="1" t="s">
        <v>1753</v>
      </c>
      <c r="H788" s="1" t="s">
        <v>1754</v>
      </c>
      <c r="J788" s="1" t="s">
        <v>2305</v>
      </c>
      <c r="K788" s="1" t="n">
        <f aca="false">IF(Search!$D$5="",0,IF(AND(OR(Search!$N$5="",ISNUMBER(SEARCH(Search!$N$5,J788))),OR(Search!$N$6="",ISNUMBER(SEARCH(Search!$N$6,J788))),OR(Search!$N$7="",ISNUMBER(SEARCH(Search!$N$7,J788))),OR(Search!$N$8="",ISNUMBER(SEARCH(Search!$N$8,J788)))),1,0))</f>
        <v>0</v>
      </c>
      <c r="L788" s="1" t="n">
        <f aca="false">L787+K788</f>
        <v>0</v>
      </c>
    </row>
    <row r="789" customFormat="false" ht="15" hidden="false" customHeight="true" outlineLevel="0" collapsed="false">
      <c r="A789" s="1" t="s">
        <v>279</v>
      </c>
      <c r="B789" s="1" t="s">
        <v>1221</v>
      </c>
      <c r="C789" s="1" t="n">
        <v>54</v>
      </c>
      <c r="E789" s="1" t="s">
        <v>2298</v>
      </c>
      <c r="F789" s="1" t="s">
        <v>2061</v>
      </c>
      <c r="G789" s="1" t="s">
        <v>2306</v>
      </c>
      <c r="H789" s="1" t="s">
        <v>2307</v>
      </c>
      <c r="J789" s="1" t="s">
        <v>2308</v>
      </c>
      <c r="K789" s="1" t="n">
        <f aca="false">IF(Search!$D$5="",0,IF(AND(OR(Search!$N$5="",ISNUMBER(SEARCH(Search!$N$5,J789))),OR(Search!$N$6="",ISNUMBER(SEARCH(Search!$N$6,J789))),OR(Search!$N$7="",ISNUMBER(SEARCH(Search!$N$7,J789))),OR(Search!$N$8="",ISNUMBER(SEARCH(Search!$N$8,J789)))),1,0))</f>
        <v>0</v>
      </c>
      <c r="L789" s="1" t="n">
        <f aca="false">L788+K789</f>
        <v>0</v>
      </c>
    </row>
    <row r="790" customFormat="false" ht="15" hidden="false" customHeight="true" outlineLevel="0" collapsed="false">
      <c r="A790" s="1" t="s">
        <v>279</v>
      </c>
      <c r="B790" s="1" t="s">
        <v>1221</v>
      </c>
      <c r="C790" s="1" t="n">
        <v>55</v>
      </c>
      <c r="E790" s="1" t="s">
        <v>2309</v>
      </c>
      <c r="F790" s="1" t="s">
        <v>1929</v>
      </c>
      <c r="G790" s="1" t="s">
        <v>2087</v>
      </c>
      <c r="H790" s="1" t="s">
        <v>2088</v>
      </c>
      <c r="J790" s="1" t="s">
        <v>2310</v>
      </c>
      <c r="K790" s="1" t="n">
        <f aca="false">IF(Search!$D$5="",0,IF(AND(OR(Search!$N$5="",ISNUMBER(SEARCH(Search!$N$5,J790))),OR(Search!$N$6="",ISNUMBER(SEARCH(Search!$N$6,J790))),OR(Search!$N$7="",ISNUMBER(SEARCH(Search!$N$7,J790))),OR(Search!$N$8="",ISNUMBER(SEARCH(Search!$N$8,J790)))),1,0))</f>
        <v>0</v>
      </c>
      <c r="L790" s="1" t="n">
        <f aca="false">L789+K790</f>
        <v>0</v>
      </c>
    </row>
    <row r="791" customFormat="false" ht="15" hidden="false" customHeight="true" outlineLevel="0" collapsed="false">
      <c r="A791" s="1" t="s">
        <v>279</v>
      </c>
      <c r="B791" s="1" t="s">
        <v>1221</v>
      </c>
      <c r="C791" s="1" t="n">
        <v>56</v>
      </c>
      <c r="E791" s="1" t="s">
        <v>2309</v>
      </c>
      <c r="F791" s="1" t="s">
        <v>627</v>
      </c>
      <c r="G791" s="1" t="s">
        <v>2311</v>
      </c>
      <c r="H791" s="1" t="s">
        <v>2312</v>
      </c>
      <c r="J791" s="1" t="s">
        <v>2313</v>
      </c>
      <c r="K791" s="1" t="n">
        <f aca="false">IF(Search!$D$5="",0,IF(AND(OR(Search!$N$5="",ISNUMBER(SEARCH(Search!$N$5,J791))),OR(Search!$N$6="",ISNUMBER(SEARCH(Search!$N$6,J791))),OR(Search!$N$7="",ISNUMBER(SEARCH(Search!$N$7,J791))),OR(Search!$N$8="",ISNUMBER(SEARCH(Search!$N$8,J791)))),1,0))</f>
        <v>0</v>
      </c>
      <c r="L791" s="1" t="n">
        <f aca="false">L790+K791</f>
        <v>0</v>
      </c>
    </row>
    <row r="792" customFormat="false" ht="15" hidden="false" customHeight="true" outlineLevel="0" collapsed="false">
      <c r="A792" s="1" t="s">
        <v>279</v>
      </c>
      <c r="B792" s="1" t="s">
        <v>1221</v>
      </c>
      <c r="C792" s="1" t="n">
        <v>57</v>
      </c>
      <c r="E792" s="1" t="s">
        <v>2309</v>
      </c>
      <c r="F792" s="1" t="s">
        <v>2061</v>
      </c>
      <c r="G792" s="1" t="s">
        <v>1787</v>
      </c>
      <c r="H792" s="1" t="s">
        <v>1788</v>
      </c>
      <c r="J792" s="1" t="s">
        <v>2314</v>
      </c>
      <c r="K792" s="1" t="n">
        <f aca="false">IF(Search!$D$5="",0,IF(AND(OR(Search!$N$5="",ISNUMBER(SEARCH(Search!$N$5,J792))),OR(Search!$N$6="",ISNUMBER(SEARCH(Search!$N$6,J792))),OR(Search!$N$7="",ISNUMBER(SEARCH(Search!$N$7,J792))),OR(Search!$N$8="",ISNUMBER(SEARCH(Search!$N$8,J792)))),1,0))</f>
        <v>0</v>
      </c>
      <c r="L792" s="1" t="n">
        <f aca="false">L791+K792</f>
        <v>0</v>
      </c>
    </row>
    <row r="793" customFormat="false" ht="15" hidden="false" customHeight="true" outlineLevel="0" collapsed="false">
      <c r="A793" s="1" t="s">
        <v>279</v>
      </c>
      <c r="B793" s="1" t="s">
        <v>1221</v>
      </c>
      <c r="C793" s="1" t="n">
        <v>58</v>
      </c>
      <c r="E793" s="1" t="s">
        <v>2315</v>
      </c>
      <c r="F793" s="1" t="s">
        <v>1975</v>
      </c>
      <c r="G793" s="1" t="s">
        <v>2316</v>
      </c>
      <c r="H793" s="1" t="s">
        <v>2317</v>
      </c>
      <c r="J793" s="1" t="s">
        <v>2318</v>
      </c>
      <c r="K793" s="1" t="n">
        <f aca="false">IF(Search!$D$5="",0,IF(AND(OR(Search!$N$5="",ISNUMBER(SEARCH(Search!$N$5,J793))),OR(Search!$N$6="",ISNUMBER(SEARCH(Search!$N$6,J793))),OR(Search!$N$7="",ISNUMBER(SEARCH(Search!$N$7,J793))),OR(Search!$N$8="",ISNUMBER(SEARCH(Search!$N$8,J793)))),1,0))</f>
        <v>0</v>
      </c>
      <c r="L793" s="1" t="n">
        <f aca="false">L792+K793</f>
        <v>0</v>
      </c>
    </row>
    <row r="794" customFormat="false" ht="15" hidden="false" customHeight="true" outlineLevel="0" collapsed="false">
      <c r="A794" s="1" t="s">
        <v>279</v>
      </c>
      <c r="B794" s="1" t="s">
        <v>1221</v>
      </c>
      <c r="C794" s="1" t="n">
        <v>59</v>
      </c>
      <c r="E794" s="1" t="s">
        <v>2315</v>
      </c>
      <c r="F794" s="1" t="s">
        <v>627</v>
      </c>
      <c r="G794" s="1" t="s">
        <v>2285</v>
      </c>
      <c r="H794" s="1" t="s">
        <v>2286</v>
      </c>
      <c r="J794" s="1" t="s">
        <v>2319</v>
      </c>
      <c r="K794" s="1" t="n">
        <f aca="false">IF(Search!$D$5="",0,IF(AND(OR(Search!$N$5="",ISNUMBER(SEARCH(Search!$N$5,J794))),OR(Search!$N$6="",ISNUMBER(SEARCH(Search!$N$6,J794))),OR(Search!$N$7="",ISNUMBER(SEARCH(Search!$N$7,J794))),OR(Search!$N$8="",ISNUMBER(SEARCH(Search!$N$8,J794)))),1,0))</f>
        <v>0</v>
      </c>
      <c r="L794" s="1" t="n">
        <f aca="false">L793+K794</f>
        <v>0</v>
      </c>
    </row>
    <row r="795" customFormat="false" ht="15" hidden="false" customHeight="true" outlineLevel="0" collapsed="false">
      <c r="A795" s="1" t="s">
        <v>279</v>
      </c>
      <c r="B795" s="1" t="s">
        <v>1221</v>
      </c>
      <c r="C795" s="1" t="n">
        <v>60</v>
      </c>
      <c r="E795" s="1" t="s">
        <v>2315</v>
      </c>
      <c r="F795" s="1" t="s">
        <v>2015</v>
      </c>
      <c r="G795" s="1" t="s">
        <v>1668</v>
      </c>
      <c r="H795" s="1" t="s">
        <v>1669</v>
      </c>
      <c r="J795" s="1" t="s">
        <v>2320</v>
      </c>
      <c r="K795" s="1" t="n">
        <f aca="false">IF(Search!$D$5="",0,IF(AND(OR(Search!$N$5="",ISNUMBER(SEARCH(Search!$N$5,J795))),OR(Search!$N$6="",ISNUMBER(SEARCH(Search!$N$6,J795))),OR(Search!$N$7="",ISNUMBER(SEARCH(Search!$N$7,J795))),OR(Search!$N$8="",ISNUMBER(SEARCH(Search!$N$8,J795)))),1,0))</f>
        <v>0</v>
      </c>
      <c r="L795" s="1" t="n">
        <f aca="false">L794+K795</f>
        <v>0</v>
      </c>
    </row>
    <row r="796" customFormat="false" ht="15" hidden="false" customHeight="true" outlineLevel="0" collapsed="false">
      <c r="A796" s="1" t="s">
        <v>279</v>
      </c>
      <c r="B796" s="1" t="s">
        <v>1221</v>
      </c>
      <c r="C796" s="1" t="n">
        <v>61</v>
      </c>
      <c r="E796" s="1" t="s">
        <v>2321</v>
      </c>
      <c r="F796" s="1" t="s">
        <v>1975</v>
      </c>
      <c r="G796" s="1" t="s">
        <v>578</v>
      </c>
      <c r="H796" s="1" t="s">
        <v>2129</v>
      </c>
      <c r="J796" s="1" t="s">
        <v>2322</v>
      </c>
      <c r="K796" s="1" t="n">
        <f aca="false">IF(Search!$D$5="",0,IF(AND(OR(Search!$N$5="",ISNUMBER(SEARCH(Search!$N$5,J796))),OR(Search!$N$6="",ISNUMBER(SEARCH(Search!$N$6,J796))),OR(Search!$N$7="",ISNUMBER(SEARCH(Search!$N$7,J796))),OR(Search!$N$8="",ISNUMBER(SEARCH(Search!$N$8,J796)))),1,0))</f>
        <v>0</v>
      </c>
      <c r="L796" s="1" t="n">
        <f aca="false">L795+K796</f>
        <v>0</v>
      </c>
    </row>
    <row r="797" customFormat="false" ht="15" hidden="false" customHeight="true" outlineLevel="0" collapsed="false">
      <c r="A797" s="1" t="s">
        <v>279</v>
      </c>
      <c r="B797" s="1" t="s">
        <v>1221</v>
      </c>
      <c r="C797" s="1" t="n">
        <v>62</v>
      </c>
      <c r="E797" s="1" t="s">
        <v>2321</v>
      </c>
      <c r="F797" s="1" t="s">
        <v>2115</v>
      </c>
      <c r="G797" s="1" t="s">
        <v>1707</v>
      </c>
      <c r="H797" s="1" t="s">
        <v>1708</v>
      </c>
      <c r="J797" s="1" t="s">
        <v>2323</v>
      </c>
      <c r="K797" s="1" t="n">
        <f aca="false">IF(Search!$D$5="",0,IF(AND(OR(Search!$N$5="",ISNUMBER(SEARCH(Search!$N$5,J797))),OR(Search!$N$6="",ISNUMBER(SEARCH(Search!$N$6,J797))),OR(Search!$N$7="",ISNUMBER(SEARCH(Search!$N$7,J797))),OR(Search!$N$8="",ISNUMBER(SEARCH(Search!$N$8,J797)))),1,0))</f>
        <v>0</v>
      </c>
      <c r="L797" s="1" t="n">
        <f aca="false">L796+K797</f>
        <v>0</v>
      </c>
    </row>
    <row r="798" customFormat="false" ht="15" hidden="false" customHeight="true" outlineLevel="0" collapsed="false">
      <c r="A798" s="1" t="s">
        <v>279</v>
      </c>
      <c r="B798" s="1" t="s">
        <v>1221</v>
      </c>
      <c r="C798" s="1" t="n">
        <v>63</v>
      </c>
      <c r="E798" s="1" t="s">
        <v>2321</v>
      </c>
      <c r="F798" s="1" t="s">
        <v>627</v>
      </c>
      <c r="G798" s="1" t="s">
        <v>1938</v>
      </c>
      <c r="H798" s="1" t="s">
        <v>2132</v>
      </c>
      <c r="J798" s="1" t="s">
        <v>2324</v>
      </c>
      <c r="K798" s="1" t="n">
        <f aca="false">IF(Search!$D$5="",0,IF(AND(OR(Search!$N$5="",ISNUMBER(SEARCH(Search!$N$5,J798))),OR(Search!$N$6="",ISNUMBER(SEARCH(Search!$N$6,J798))),OR(Search!$N$7="",ISNUMBER(SEARCH(Search!$N$7,J798))),OR(Search!$N$8="",ISNUMBER(SEARCH(Search!$N$8,J798)))),1,0))</f>
        <v>0</v>
      </c>
      <c r="L798" s="1" t="n">
        <f aca="false">L797+K798</f>
        <v>0</v>
      </c>
    </row>
    <row r="799" customFormat="false" ht="15" hidden="false" customHeight="true" outlineLevel="0" collapsed="false">
      <c r="A799" s="1" t="s">
        <v>279</v>
      </c>
      <c r="B799" s="1" t="s">
        <v>1221</v>
      </c>
      <c r="C799" s="1" t="n">
        <v>64</v>
      </c>
      <c r="E799" s="1" t="s">
        <v>2321</v>
      </c>
      <c r="F799" s="1" t="s">
        <v>2015</v>
      </c>
      <c r="G799" s="1" t="s">
        <v>2325</v>
      </c>
      <c r="H799" s="1" t="s">
        <v>2326</v>
      </c>
      <c r="J799" s="1" t="s">
        <v>2327</v>
      </c>
      <c r="K799" s="1" t="n">
        <f aca="false">IF(Search!$D$5="",0,IF(AND(OR(Search!$N$5="",ISNUMBER(SEARCH(Search!$N$5,J799))),OR(Search!$N$6="",ISNUMBER(SEARCH(Search!$N$6,J799))),OR(Search!$N$7="",ISNUMBER(SEARCH(Search!$N$7,J799))),OR(Search!$N$8="",ISNUMBER(SEARCH(Search!$N$8,J799)))),1,0))</f>
        <v>0</v>
      </c>
      <c r="L799" s="1" t="n">
        <f aca="false">L798+K799</f>
        <v>0</v>
      </c>
    </row>
    <row r="800" customFormat="false" ht="15" hidden="false" customHeight="true" outlineLevel="0" collapsed="false">
      <c r="A800" s="1" t="s">
        <v>279</v>
      </c>
      <c r="B800" s="1" t="s">
        <v>1221</v>
      </c>
      <c r="C800" s="1" t="n">
        <v>65</v>
      </c>
      <c r="E800" s="1" t="s">
        <v>2321</v>
      </c>
      <c r="F800" s="1" t="s">
        <v>2061</v>
      </c>
      <c r="G800" s="1" t="s">
        <v>2134</v>
      </c>
      <c r="H800" s="1" t="s">
        <v>2135</v>
      </c>
      <c r="J800" s="1" t="s">
        <v>2328</v>
      </c>
      <c r="K800" s="1" t="n">
        <f aca="false">IF(Search!$D$5="",0,IF(AND(OR(Search!$N$5="",ISNUMBER(SEARCH(Search!$N$5,J800))),OR(Search!$N$6="",ISNUMBER(SEARCH(Search!$N$6,J800))),OR(Search!$N$7="",ISNUMBER(SEARCH(Search!$N$7,J800))),OR(Search!$N$8="",ISNUMBER(SEARCH(Search!$N$8,J800)))),1,0))</f>
        <v>0</v>
      </c>
      <c r="L800" s="1" t="n">
        <f aca="false">L799+K800</f>
        <v>0</v>
      </c>
    </row>
    <row r="801" customFormat="false" ht="15" hidden="false" customHeight="true" outlineLevel="0" collapsed="false">
      <c r="A801" s="1" t="s">
        <v>279</v>
      </c>
      <c r="B801" s="1" t="s">
        <v>1221</v>
      </c>
      <c r="C801" s="1" t="n">
        <v>66</v>
      </c>
      <c r="E801" s="1" t="s">
        <v>2329</v>
      </c>
      <c r="F801" s="1" t="s">
        <v>1975</v>
      </c>
      <c r="G801" s="1" t="s">
        <v>578</v>
      </c>
      <c r="H801" s="1" t="s">
        <v>2129</v>
      </c>
      <c r="J801" s="1" t="s">
        <v>2330</v>
      </c>
      <c r="K801" s="1" t="n">
        <f aca="false">IF(Search!$D$5="",0,IF(AND(OR(Search!$N$5="",ISNUMBER(SEARCH(Search!$N$5,J801))),OR(Search!$N$6="",ISNUMBER(SEARCH(Search!$N$6,J801))),OR(Search!$N$7="",ISNUMBER(SEARCH(Search!$N$7,J801))),OR(Search!$N$8="",ISNUMBER(SEARCH(Search!$N$8,J801)))),1,0))</f>
        <v>0</v>
      </c>
      <c r="L801" s="1" t="n">
        <f aca="false">L800+K801</f>
        <v>0</v>
      </c>
    </row>
    <row r="802" customFormat="false" ht="15" hidden="false" customHeight="true" outlineLevel="0" collapsed="false">
      <c r="A802" s="1" t="s">
        <v>279</v>
      </c>
      <c r="B802" s="1" t="s">
        <v>1221</v>
      </c>
      <c r="C802" s="1" t="n">
        <v>67</v>
      </c>
      <c r="E802" s="1" t="s">
        <v>2329</v>
      </c>
      <c r="F802" s="1" t="s">
        <v>627</v>
      </c>
      <c r="G802" s="1" t="s">
        <v>1938</v>
      </c>
      <c r="H802" s="1" t="s">
        <v>2132</v>
      </c>
      <c r="J802" s="1" t="s">
        <v>2331</v>
      </c>
      <c r="K802" s="1" t="n">
        <f aca="false">IF(Search!$D$5="",0,IF(AND(OR(Search!$N$5="",ISNUMBER(SEARCH(Search!$N$5,J802))),OR(Search!$N$6="",ISNUMBER(SEARCH(Search!$N$6,J802))),OR(Search!$N$7="",ISNUMBER(SEARCH(Search!$N$7,J802))),OR(Search!$N$8="",ISNUMBER(SEARCH(Search!$N$8,J802)))),1,0))</f>
        <v>0</v>
      </c>
      <c r="L802" s="1" t="n">
        <f aca="false">L801+K802</f>
        <v>0</v>
      </c>
    </row>
    <row r="803" customFormat="false" ht="15" hidden="false" customHeight="true" outlineLevel="0" collapsed="false">
      <c r="A803" s="1" t="s">
        <v>279</v>
      </c>
      <c r="B803" s="1" t="s">
        <v>1221</v>
      </c>
      <c r="C803" s="1" t="n">
        <v>68</v>
      </c>
      <c r="E803" s="1" t="s">
        <v>2329</v>
      </c>
      <c r="F803" s="1" t="s">
        <v>2061</v>
      </c>
      <c r="G803" s="1" t="s">
        <v>2134</v>
      </c>
      <c r="H803" s="1" t="s">
        <v>2135</v>
      </c>
      <c r="J803" s="1" t="s">
        <v>2332</v>
      </c>
      <c r="K803" s="1" t="n">
        <f aca="false">IF(Search!$D$5="",0,IF(AND(OR(Search!$N$5="",ISNUMBER(SEARCH(Search!$N$5,J803))),OR(Search!$N$6="",ISNUMBER(SEARCH(Search!$N$6,J803))),OR(Search!$N$7="",ISNUMBER(SEARCH(Search!$N$7,J803))),OR(Search!$N$8="",ISNUMBER(SEARCH(Search!$N$8,J803)))),1,0))</f>
        <v>0</v>
      </c>
      <c r="L803" s="1" t="n">
        <f aca="false">L802+K803</f>
        <v>0</v>
      </c>
    </row>
    <row r="804" customFormat="false" ht="15" hidden="false" customHeight="true" outlineLevel="0" collapsed="false">
      <c r="A804" s="1" t="s">
        <v>279</v>
      </c>
      <c r="B804" s="1" t="s">
        <v>1221</v>
      </c>
      <c r="C804" s="1" t="n">
        <v>69</v>
      </c>
      <c r="E804" s="1" t="s">
        <v>2329</v>
      </c>
      <c r="F804" s="1" t="s">
        <v>585</v>
      </c>
      <c r="G804" s="1" t="s">
        <v>2333</v>
      </c>
      <c r="H804" s="1" t="s">
        <v>2334</v>
      </c>
      <c r="J804" s="1" t="s">
        <v>2335</v>
      </c>
      <c r="K804" s="1" t="n">
        <f aca="false">IF(Search!$D$5="",0,IF(AND(OR(Search!$N$5="",ISNUMBER(SEARCH(Search!$N$5,J804))),OR(Search!$N$6="",ISNUMBER(SEARCH(Search!$N$6,J804))),OR(Search!$N$7="",ISNUMBER(SEARCH(Search!$N$7,J804))),OR(Search!$N$8="",ISNUMBER(SEARCH(Search!$N$8,J804)))),1,0))</f>
        <v>0</v>
      </c>
      <c r="L804" s="1" t="n">
        <f aca="false">L803+K804</f>
        <v>0</v>
      </c>
    </row>
    <row r="805" customFormat="false" ht="15" hidden="false" customHeight="true" outlineLevel="0" collapsed="false">
      <c r="A805" s="1" t="s">
        <v>279</v>
      </c>
      <c r="B805" s="1" t="s">
        <v>1221</v>
      </c>
      <c r="C805" s="1" t="n">
        <v>72</v>
      </c>
      <c r="E805" s="1" t="s">
        <v>2336</v>
      </c>
      <c r="J805" s="1" t="s">
        <v>2336</v>
      </c>
      <c r="K805" s="1" t="n">
        <f aca="false">IF(Search!$D$5="",0,IF(AND(OR(Search!$N$5="",ISNUMBER(SEARCH(Search!$N$5,J805))),OR(Search!$N$6="",ISNUMBER(SEARCH(Search!$N$6,J805))),OR(Search!$N$7="",ISNUMBER(SEARCH(Search!$N$7,J805))),OR(Search!$N$8="",ISNUMBER(SEARCH(Search!$N$8,J805)))),1,0))</f>
        <v>0</v>
      </c>
      <c r="L805" s="1" t="n">
        <f aca="false">L804+K805</f>
        <v>0</v>
      </c>
    </row>
    <row r="806" customFormat="false" ht="15" hidden="false" customHeight="true" outlineLevel="0" collapsed="false">
      <c r="A806" s="1" t="s">
        <v>279</v>
      </c>
      <c r="B806" s="1" t="s">
        <v>1221</v>
      </c>
      <c r="C806" s="1" t="n">
        <v>73</v>
      </c>
      <c r="E806" s="1" t="s">
        <v>1279</v>
      </c>
      <c r="J806" s="1" t="s">
        <v>1279</v>
      </c>
      <c r="K806" s="1" t="n">
        <f aca="false">IF(Search!$D$5="",0,IF(AND(OR(Search!$N$5="",ISNUMBER(SEARCH(Search!$N$5,J806))),OR(Search!$N$6="",ISNUMBER(SEARCH(Search!$N$6,J806))),OR(Search!$N$7="",ISNUMBER(SEARCH(Search!$N$7,J806))),OR(Search!$N$8="",ISNUMBER(SEARCH(Search!$N$8,J806)))),1,0))</f>
        <v>0</v>
      </c>
      <c r="L806" s="1" t="n">
        <f aca="false">L805+K806</f>
        <v>0</v>
      </c>
    </row>
    <row r="807" customFormat="false" ht="16.5" hidden="false" customHeight="true" outlineLevel="0" collapsed="false">
      <c r="A807" s="1" t="s">
        <v>282</v>
      </c>
      <c r="B807" s="1" t="s">
        <v>1221</v>
      </c>
      <c r="C807" s="1" t="n">
        <v>2</v>
      </c>
      <c r="E807" s="1" t="s">
        <v>2337</v>
      </c>
      <c r="J807" s="1" t="s">
        <v>2337</v>
      </c>
      <c r="K807" s="1" t="n">
        <f aca="false">IF(Search!$D$5="",0,IF(AND(OR(Search!$N$5="",ISNUMBER(SEARCH(Search!$N$5,J807))),OR(Search!$N$6="",ISNUMBER(SEARCH(Search!$N$6,J807))),OR(Search!$N$7="",ISNUMBER(SEARCH(Search!$N$7,J807))),OR(Search!$N$8="",ISNUMBER(SEARCH(Search!$N$8,J807)))),1,0))</f>
        <v>0</v>
      </c>
      <c r="L807" s="1" t="n">
        <f aca="false">L806+K807</f>
        <v>0</v>
      </c>
    </row>
    <row r="808" customFormat="false" ht="15" hidden="false" customHeight="true" outlineLevel="0" collapsed="false">
      <c r="A808" s="1" t="s">
        <v>282</v>
      </c>
      <c r="B808" s="1" t="s">
        <v>1221</v>
      </c>
      <c r="C808" s="1" t="n">
        <v>3</v>
      </c>
      <c r="E808" s="1" t="s">
        <v>2338</v>
      </c>
      <c r="J808" s="1" t="s">
        <v>2338</v>
      </c>
      <c r="K808" s="1" t="n">
        <f aca="false">IF(Search!$D$5="",0,IF(AND(OR(Search!$N$5="",ISNUMBER(SEARCH(Search!$N$5,J808))),OR(Search!$N$6="",ISNUMBER(SEARCH(Search!$N$6,J808))),OR(Search!$N$7="",ISNUMBER(SEARCH(Search!$N$7,J808))),OR(Search!$N$8="",ISNUMBER(SEARCH(Search!$N$8,J808)))),1,0))</f>
        <v>0</v>
      </c>
      <c r="L808" s="1" t="n">
        <f aca="false">L807+K808</f>
        <v>0</v>
      </c>
    </row>
    <row r="809" customFormat="false" ht="15" hidden="false" customHeight="true" outlineLevel="0" collapsed="false">
      <c r="A809" s="1" t="s">
        <v>282</v>
      </c>
      <c r="B809" s="1" t="s">
        <v>1221</v>
      </c>
      <c r="C809" s="1" t="n">
        <v>5</v>
      </c>
      <c r="E809" s="1" t="s">
        <v>2339</v>
      </c>
      <c r="J809" s="1" t="s">
        <v>2339</v>
      </c>
      <c r="K809" s="1" t="n">
        <f aca="false">IF(Search!$D$5="",0,IF(AND(OR(Search!$N$5="",ISNUMBER(SEARCH(Search!$N$5,J809))),OR(Search!$N$6="",ISNUMBER(SEARCH(Search!$N$6,J809))),OR(Search!$N$7="",ISNUMBER(SEARCH(Search!$N$7,J809))),OR(Search!$N$8="",ISNUMBER(SEARCH(Search!$N$8,J809)))),1,0))</f>
        <v>0</v>
      </c>
      <c r="L809" s="1" t="n">
        <f aca="false">L808+K809</f>
        <v>0</v>
      </c>
    </row>
    <row r="810" customFormat="false" ht="15" hidden="false" customHeight="true" outlineLevel="0" collapsed="false">
      <c r="A810" s="1" t="s">
        <v>282</v>
      </c>
      <c r="B810" s="1" t="s">
        <v>1221</v>
      </c>
      <c r="C810" s="1" t="n">
        <v>6</v>
      </c>
      <c r="E810" s="1" t="s">
        <v>2340</v>
      </c>
      <c r="F810" s="1" t="s">
        <v>2195</v>
      </c>
      <c r="G810" s="1" t="s">
        <v>2196</v>
      </c>
      <c r="H810" s="1" t="s">
        <v>2197</v>
      </c>
      <c r="J810" s="1" t="s">
        <v>2341</v>
      </c>
      <c r="K810" s="1" t="n">
        <f aca="false">IF(Search!$D$5="",0,IF(AND(OR(Search!$N$5="",ISNUMBER(SEARCH(Search!$N$5,J810))),OR(Search!$N$6="",ISNUMBER(SEARCH(Search!$N$6,J810))),OR(Search!$N$7="",ISNUMBER(SEARCH(Search!$N$7,J810))),OR(Search!$N$8="",ISNUMBER(SEARCH(Search!$N$8,J810)))),1,0))</f>
        <v>0</v>
      </c>
      <c r="L810" s="1" t="n">
        <f aca="false">L809+K810</f>
        <v>0</v>
      </c>
    </row>
    <row r="811" customFormat="false" ht="15" hidden="false" customHeight="true" outlineLevel="0" collapsed="false">
      <c r="A811" s="1" t="s">
        <v>282</v>
      </c>
      <c r="B811" s="1" t="s">
        <v>1221</v>
      </c>
      <c r="C811" s="1" t="n">
        <v>7</v>
      </c>
      <c r="E811" s="1" t="s">
        <v>2342</v>
      </c>
      <c r="F811" s="1" t="s">
        <v>1862</v>
      </c>
      <c r="G811" s="1" t="s">
        <v>2343</v>
      </c>
      <c r="H811" s="1" t="s">
        <v>2344</v>
      </c>
      <c r="J811" s="1" t="s">
        <v>2345</v>
      </c>
      <c r="K811" s="1" t="n">
        <f aca="false">IF(Search!$D$5="",0,IF(AND(OR(Search!$N$5="",ISNUMBER(SEARCH(Search!$N$5,J811))),OR(Search!$N$6="",ISNUMBER(SEARCH(Search!$N$6,J811))),OR(Search!$N$7="",ISNUMBER(SEARCH(Search!$N$7,J811))),OR(Search!$N$8="",ISNUMBER(SEARCH(Search!$N$8,J811)))),1,0))</f>
        <v>0</v>
      </c>
      <c r="L811" s="1" t="n">
        <f aca="false">L810+K811</f>
        <v>0</v>
      </c>
    </row>
    <row r="812" customFormat="false" ht="15" hidden="false" customHeight="true" outlineLevel="0" collapsed="false">
      <c r="A812" s="1" t="s">
        <v>282</v>
      </c>
      <c r="B812" s="1" t="s">
        <v>1221</v>
      </c>
      <c r="C812" s="1" t="n">
        <v>8</v>
      </c>
      <c r="E812" s="1" t="s">
        <v>2342</v>
      </c>
      <c r="F812" s="1" t="s">
        <v>1409</v>
      </c>
      <c r="G812" s="1" t="s">
        <v>2346</v>
      </c>
      <c r="H812" s="1" t="s">
        <v>2058</v>
      </c>
      <c r="J812" s="1" t="s">
        <v>2347</v>
      </c>
      <c r="K812" s="1" t="n">
        <f aca="false">IF(Search!$D$5="",0,IF(AND(OR(Search!$N$5="",ISNUMBER(SEARCH(Search!$N$5,J812))),OR(Search!$N$6="",ISNUMBER(SEARCH(Search!$N$6,J812))),OR(Search!$N$7="",ISNUMBER(SEARCH(Search!$N$7,J812))),OR(Search!$N$8="",ISNUMBER(SEARCH(Search!$N$8,J812)))),1,0))</f>
        <v>0</v>
      </c>
      <c r="L812" s="1" t="n">
        <f aca="false">L811+K812</f>
        <v>0</v>
      </c>
    </row>
    <row r="813" customFormat="false" ht="15" hidden="false" customHeight="true" outlineLevel="0" collapsed="false">
      <c r="A813" s="1" t="s">
        <v>282</v>
      </c>
      <c r="B813" s="1" t="s">
        <v>1221</v>
      </c>
      <c r="C813" s="1" t="n">
        <v>9</v>
      </c>
      <c r="E813" s="1" t="s">
        <v>2348</v>
      </c>
      <c r="F813" s="1" t="s">
        <v>1862</v>
      </c>
      <c r="G813" s="1" t="s">
        <v>2349</v>
      </c>
      <c r="H813" s="1" t="s">
        <v>2350</v>
      </c>
      <c r="J813" s="1" t="s">
        <v>2351</v>
      </c>
      <c r="K813" s="1" t="n">
        <f aca="false">IF(Search!$D$5="",0,IF(AND(OR(Search!$N$5="",ISNUMBER(SEARCH(Search!$N$5,J813))),OR(Search!$N$6="",ISNUMBER(SEARCH(Search!$N$6,J813))),OR(Search!$N$7="",ISNUMBER(SEARCH(Search!$N$7,J813))),OR(Search!$N$8="",ISNUMBER(SEARCH(Search!$N$8,J813)))),1,0))</f>
        <v>0</v>
      </c>
      <c r="L813" s="1" t="n">
        <f aca="false">L812+K813</f>
        <v>0</v>
      </c>
    </row>
    <row r="814" customFormat="false" ht="15" hidden="false" customHeight="true" outlineLevel="0" collapsed="false">
      <c r="A814" s="1" t="s">
        <v>282</v>
      </c>
      <c r="B814" s="1" t="s">
        <v>1221</v>
      </c>
      <c r="C814" s="1" t="n">
        <v>10</v>
      </c>
      <c r="E814" s="1" t="s">
        <v>2348</v>
      </c>
      <c r="F814" s="1" t="s">
        <v>1409</v>
      </c>
      <c r="G814" s="1" t="s">
        <v>2352</v>
      </c>
      <c r="H814" s="1" t="s">
        <v>2353</v>
      </c>
      <c r="J814" s="1" t="s">
        <v>2354</v>
      </c>
      <c r="K814" s="1" t="n">
        <f aca="false">IF(Search!$D$5="",0,IF(AND(OR(Search!$N$5="",ISNUMBER(SEARCH(Search!$N$5,J814))),OR(Search!$N$6="",ISNUMBER(SEARCH(Search!$N$6,J814))),OR(Search!$N$7="",ISNUMBER(SEARCH(Search!$N$7,J814))),OR(Search!$N$8="",ISNUMBER(SEARCH(Search!$N$8,J814)))),1,0))</f>
        <v>0</v>
      </c>
      <c r="L814" s="1" t="n">
        <f aca="false">L813+K814</f>
        <v>0</v>
      </c>
    </row>
    <row r="815" customFormat="false" ht="15" hidden="false" customHeight="true" outlineLevel="0" collapsed="false">
      <c r="A815" s="1" t="s">
        <v>282</v>
      </c>
      <c r="B815" s="1" t="s">
        <v>1221</v>
      </c>
      <c r="C815" s="1" t="n">
        <v>11</v>
      </c>
      <c r="E815" s="1" t="s">
        <v>2348</v>
      </c>
      <c r="F815" s="1" t="s">
        <v>987</v>
      </c>
      <c r="G815" s="1" t="s">
        <v>2355</v>
      </c>
      <c r="H815" s="1" t="s">
        <v>2356</v>
      </c>
      <c r="J815" s="1" t="s">
        <v>2357</v>
      </c>
      <c r="K815" s="1" t="n">
        <f aca="false">IF(Search!$D$5="",0,IF(AND(OR(Search!$N$5="",ISNUMBER(SEARCH(Search!$N$5,J815))),OR(Search!$N$6="",ISNUMBER(SEARCH(Search!$N$6,J815))),OR(Search!$N$7="",ISNUMBER(SEARCH(Search!$N$7,J815))),OR(Search!$N$8="",ISNUMBER(SEARCH(Search!$N$8,J815)))),1,0))</f>
        <v>0</v>
      </c>
      <c r="L815" s="1" t="n">
        <f aca="false">L814+K815</f>
        <v>0</v>
      </c>
    </row>
    <row r="816" customFormat="false" ht="15" hidden="false" customHeight="true" outlineLevel="0" collapsed="false">
      <c r="A816" s="1" t="s">
        <v>282</v>
      </c>
      <c r="B816" s="1" t="s">
        <v>1221</v>
      </c>
      <c r="C816" s="1" t="n">
        <v>12</v>
      </c>
      <c r="E816" s="1" t="s">
        <v>2348</v>
      </c>
      <c r="F816" s="1" t="s">
        <v>2358</v>
      </c>
      <c r="G816" s="1" t="s">
        <v>2359</v>
      </c>
      <c r="H816" s="1" t="s">
        <v>2360</v>
      </c>
      <c r="J816" s="1" t="s">
        <v>2361</v>
      </c>
      <c r="K816" s="1" t="n">
        <f aca="false">IF(Search!$D$5="",0,IF(AND(OR(Search!$N$5="",ISNUMBER(SEARCH(Search!$N$5,J816))),OR(Search!$N$6="",ISNUMBER(SEARCH(Search!$N$6,J816))),OR(Search!$N$7="",ISNUMBER(SEARCH(Search!$N$7,J816))),OR(Search!$N$8="",ISNUMBER(SEARCH(Search!$N$8,J816)))),1,0))</f>
        <v>0</v>
      </c>
      <c r="L816" s="1" t="n">
        <f aca="false">L815+K816</f>
        <v>0</v>
      </c>
    </row>
    <row r="817" customFormat="false" ht="15" hidden="false" customHeight="true" outlineLevel="0" collapsed="false">
      <c r="A817" s="1" t="s">
        <v>282</v>
      </c>
      <c r="B817" s="1" t="s">
        <v>1221</v>
      </c>
      <c r="C817" s="1" t="n">
        <v>13</v>
      </c>
      <c r="E817" s="1" t="s">
        <v>2362</v>
      </c>
      <c r="F817" s="1" t="s">
        <v>1862</v>
      </c>
      <c r="G817" s="1" t="s">
        <v>2363</v>
      </c>
      <c r="H817" s="1" t="s">
        <v>2364</v>
      </c>
      <c r="J817" s="1" t="s">
        <v>2365</v>
      </c>
      <c r="K817" s="1" t="n">
        <f aca="false">IF(Search!$D$5="",0,IF(AND(OR(Search!$N$5="",ISNUMBER(SEARCH(Search!$N$5,J817))),OR(Search!$N$6="",ISNUMBER(SEARCH(Search!$N$6,J817))),OR(Search!$N$7="",ISNUMBER(SEARCH(Search!$N$7,J817))),OR(Search!$N$8="",ISNUMBER(SEARCH(Search!$N$8,J817)))),1,0))</f>
        <v>0</v>
      </c>
      <c r="L817" s="1" t="n">
        <f aca="false">L816+K817</f>
        <v>0</v>
      </c>
    </row>
    <row r="818" customFormat="false" ht="15" hidden="false" customHeight="true" outlineLevel="0" collapsed="false">
      <c r="A818" s="1" t="s">
        <v>282</v>
      </c>
      <c r="B818" s="1" t="s">
        <v>1221</v>
      </c>
      <c r="C818" s="1" t="n">
        <v>14</v>
      </c>
      <c r="E818" s="1" t="s">
        <v>2362</v>
      </c>
      <c r="F818" s="1" t="s">
        <v>1409</v>
      </c>
      <c r="G818" s="1" t="s">
        <v>2366</v>
      </c>
      <c r="H818" s="1" t="s">
        <v>2367</v>
      </c>
      <c r="J818" s="1" t="s">
        <v>2368</v>
      </c>
      <c r="K818" s="1" t="n">
        <f aca="false">IF(Search!$D$5="",0,IF(AND(OR(Search!$N$5="",ISNUMBER(SEARCH(Search!$N$5,J818))),OR(Search!$N$6="",ISNUMBER(SEARCH(Search!$N$6,J818))),OR(Search!$N$7="",ISNUMBER(SEARCH(Search!$N$7,J818))),OR(Search!$N$8="",ISNUMBER(SEARCH(Search!$N$8,J818)))),1,0))</f>
        <v>0</v>
      </c>
      <c r="L818" s="1" t="n">
        <f aca="false">L817+K818</f>
        <v>0</v>
      </c>
    </row>
    <row r="819" customFormat="false" ht="15" hidden="false" customHeight="true" outlineLevel="0" collapsed="false">
      <c r="A819" s="1" t="s">
        <v>282</v>
      </c>
      <c r="B819" s="1" t="s">
        <v>1221</v>
      </c>
      <c r="C819" s="1" t="n">
        <v>15</v>
      </c>
      <c r="E819" s="1" t="s">
        <v>2362</v>
      </c>
      <c r="F819" s="1" t="s">
        <v>987</v>
      </c>
      <c r="G819" s="1" t="s">
        <v>2369</v>
      </c>
      <c r="H819" s="1" t="s">
        <v>2370</v>
      </c>
      <c r="J819" s="1" t="s">
        <v>2371</v>
      </c>
      <c r="K819" s="1" t="n">
        <f aca="false">IF(Search!$D$5="",0,IF(AND(OR(Search!$N$5="",ISNUMBER(SEARCH(Search!$N$5,J819))),OR(Search!$N$6="",ISNUMBER(SEARCH(Search!$N$6,J819))),OR(Search!$N$7="",ISNUMBER(SEARCH(Search!$N$7,J819))),OR(Search!$N$8="",ISNUMBER(SEARCH(Search!$N$8,J819)))),1,0))</f>
        <v>0</v>
      </c>
      <c r="L819" s="1" t="n">
        <f aca="false">L818+K819</f>
        <v>0</v>
      </c>
    </row>
    <row r="820" customFormat="false" ht="15" hidden="false" customHeight="true" outlineLevel="0" collapsed="false">
      <c r="A820" s="1" t="s">
        <v>282</v>
      </c>
      <c r="B820" s="1" t="s">
        <v>1221</v>
      </c>
      <c r="C820" s="1" t="n">
        <v>16</v>
      </c>
      <c r="E820" s="1" t="s">
        <v>2362</v>
      </c>
      <c r="F820" s="1" t="s">
        <v>2358</v>
      </c>
      <c r="G820" s="1" t="s">
        <v>1919</v>
      </c>
      <c r="H820" s="1" t="s">
        <v>2372</v>
      </c>
      <c r="J820" s="1" t="s">
        <v>2373</v>
      </c>
      <c r="K820" s="1" t="n">
        <f aca="false">IF(Search!$D$5="",0,IF(AND(OR(Search!$N$5="",ISNUMBER(SEARCH(Search!$N$5,J820))),OR(Search!$N$6="",ISNUMBER(SEARCH(Search!$N$6,J820))),OR(Search!$N$7="",ISNUMBER(SEARCH(Search!$N$7,J820))),OR(Search!$N$8="",ISNUMBER(SEARCH(Search!$N$8,J820)))),1,0))</f>
        <v>0</v>
      </c>
      <c r="L820" s="1" t="n">
        <f aca="false">L819+K820</f>
        <v>0</v>
      </c>
    </row>
    <row r="821" customFormat="false" ht="15" hidden="false" customHeight="true" outlineLevel="0" collapsed="false">
      <c r="A821" s="1" t="s">
        <v>282</v>
      </c>
      <c r="B821" s="1" t="s">
        <v>1221</v>
      </c>
      <c r="C821" s="1" t="n">
        <v>17</v>
      </c>
      <c r="E821" s="1" t="s">
        <v>2362</v>
      </c>
      <c r="F821" s="1" t="s">
        <v>1830</v>
      </c>
      <c r="G821" s="1" t="s">
        <v>2374</v>
      </c>
      <c r="H821" s="1" t="s">
        <v>2375</v>
      </c>
      <c r="J821" s="1" t="s">
        <v>2376</v>
      </c>
      <c r="K821" s="1" t="n">
        <f aca="false">IF(Search!$D$5="",0,IF(AND(OR(Search!$N$5="",ISNUMBER(SEARCH(Search!$N$5,J821))),OR(Search!$N$6="",ISNUMBER(SEARCH(Search!$N$6,J821))),OR(Search!$N$7="",ISNUMBER(SEARCH(Search!$N$7,J821))),OR(Search!$N$8="",ISNUMBER(SEARCH(Search!$N$8,J821)))),1,0))</f>
        <v>0</v>
      </c>
      <c r="L821" s="1" t="n">
        <f aca="false">L820+K821</f>
        <v>0</v>
      </c>
    </row>
    <row r="822" customFormat="false" ht="15" hidden="false" customHeight="true" outlineLevel="0" collapsed="false">
      <c r="A822" s="1" t="s">
        <v>282</v>
      </c>
      <c r="B822" s="1" t="s">
        <v>1221</v>
      </c>
      <c r="C822" s="1" t="n">
        <v>18</v>
      </c>
      <c r="E822" s="1" t="s">
        <v>2362</v>
      </c>
      <c r="F822" s="1" t="s">
        <v>2377</v>
      </c>
      <c r="G822" s="1" t="s">
        <v>2378</v>
      </c>
      <c r="H822" s="1" t="s">
        <v>2379</v>
      </c>
      <c r="J822" s="1" t="s">
        <v>2380</v>
      </c>
      <c r="K822" s="1" t="n">
        <f aca="false">IF(Search!$D$5="",0,IF(AND(OR(Search!$N$5="",ISNUMBER(SEARCH(Search!$N$5,J822))),OR(Search!$N$6="",ISNUMBER(SEARCH(Search!$N$6,J822))),OR(Search!$N$7="",ISNUMBER(SEARCH(Search!$N$7,J822))),OR(Search!$N$8="",ISNUMBER(SEARCH(Search!$N$8,J822)))),1,0))</f>
        <v>0</v>
      </c>
      <c r="L822" s="1" t="n">
        <f aca="false">L821+K822</f>
        <v>0</v>
      </c>
    </row>
    <row r="823" customFormat="false" ht="15" hidden="false" customHeight="true" outlineLevel="0" collapsed="false">
      <c r="A823" s="1" t="s">
        <v>282</v>
      </c>
      <c r="B823" s="1" t="s">
        <v>1221</v>
      </c>
      <c r="C823" s="1" t="n">
        <v>19</v>
      </c>
      <c r="E823" s="1" t="s">
        <v>2381</v>
      </c>
      <c r="F823" s="1" t="s">
        <v>1409</v>
      </c>
      <c r="G823" s="1" t="s">
        <v>2382</v>
      </c>
      <c r="H823" s="1" t="s">
        <v>2383</v>
      </c>
      <c r="J823" s="1" t="s">
        <v>2384</v>
      </c>
      <c r="K823" s="1" t="n">
        <f aca="false">IF(Search!$D$5="",0,IF(AND(OR(Search!$N$5="",ISNUMBER(SEARCH(Search!$N$5,J823))),OR(Search!$N$6="",ISNUMBER(SEARCH(Search!$N$6,J823))),OR(Search!$N$7="",ISNUMBER(SEARCH(Search!$N$7,J823))),OR(Search!$N$8="",ISNUMBER(SEARCH(Search!$N$8,J823)))),1,0))</f>
        <v>0</v>
      </c>
      <c r="L823" s="1" t="n">
        <f aca="false">L822+K823</f>
        <v>0</v>
      </c>
    </row>
    <row r="824" customFormat="false" ht="15" hidden="false" customHeight="true" outlineLevel="0" collapsed="false">
      <c r="A824" s="1" t="s">
        <v>282</v>
      </c>
      <c r="B824" s="1" t="s">
        <v>1221</v>
      </c>
      <c r="C824" s="1" t="n">
        <v>20</v>
      </c>
      <c r="E824" s="1" t="s">
        <v>2381</v>
      </c>
      <c r="F824" s="1" t="s">
        <v>987</v>
      </c>
      <c r="G824" s="1" t="s">
        <v>2385</v>
      </c>
      <c r="H824" s="1" t="s">
        <v>2386</v>
      </c>
      <c r="J824" s="1" t="s">
        <v>2387</v>
      </c>
      <c r="K824" s="1" t="n">
        <f aca="false">IF(Search!$D$5="",0,IF(AND(OR(Search!$N$5="",ISNUMBER(SEARCH(Search!$N$5,J824))),OR(Search!$N$6="",ISNUMBER(SEARCH(Search!$N$6,J824))),OR(Search!$N$7="",ISNUMBER(SEARCH(Search!$N$7,J824))),OR(Search!$N$8="",ISNUMBER(SEARCH(Search!$N$8,J824)))),1,0))</f>
        <v>0</v>
      </c>
      <c r="L824" s="1" t="n">
        <f aca="false">L823+K824</f>
        <v>0</v>
      </c>
    </row>
    <row r="825" customFormat="false" ht="15" hidden="false" customHeight="true" outlineLevel="0" collapsed="false">
      <c r="A825" s="1" t="s">
        <v>282</v>
      </c>
      <c r="B825" s="1" t="s">
        <v>1221</v>
      </c>
      <c r="C825" s="1" t="n">
        <v>21</v>
      </c>
      <c r="E825" s="1" t="s">
        <v>2381</v>
      </c>
      <c r="F825" s="1" t="s">
        <v>2358</v>
      </c>
      <c r="G825" s="1" t="s">
        <v>2388</v>
      </c>
      <c r="H825" s="1" t="s">
        <v>2389</v>
      </c>
      <c r="J825" s="1" t="s">
        <v>2390</v>
      </c>
      <c r="K825" s="1" t="n">
        <f aca="false">IF(Search!$D$5="",0,IF(AND(OR(Search!$N$5="",ISNUMBER(SEARCH(Search!$N$5,J825))),OR(Search!$N$6="",ISNUMBER(SEARCH(Search!$N$6,J825))),OR(Search!$N$7="",ISNUMBER(SEARCH(Search!$N$7,J825))),OR(Search!$N$8="",ISNUMBER(SEARCH(Search!$N$8,J825)))),1,0))</f>
        <v>0</v>
      </c>
      <c r="L825" s="1" t="n">
        <f aca="false">L824+K825</f>
        <v>0</v>
      </c>
    </row>
    <row r="826" customFormat="false" ht="15" hidden="false" customHeight="true" outlineLevel="0" collapsed="false">
      <c r="A826" s="1" t="s">
        <v>282</v>
      </c>
      <c r="B826" s="1" t="s">
        <v>1221</v>
      </c>
      <c r="C826" s="1" t="n">
        <v>22</v>
      </c>
      <c r="E826" s="1" t="s">
        <v>2381</v>
      </c>
      <c r="F826" s="1" t="s">
        <v>1830</v>
      </c>
      <c r="G826" s="1" t="s">
        <v>1847</v>
      </c>
      <c r="H826" s="1" t="s">
        <v>2391</v>
      </c>
      <c r="J826" s="1" t="s">
        <v>2392</v>
      </c>
      <c r="K826" s="1" t="n">
        <f aca="false">IF(Search!$D$5="",0,IF(AND(OR(Search!$N$5="",ISNUMBER(SEARCH(Search!$N$5,J826))),OR(Search!$N$6="",ISNUMBER(SEARCH(Search!$N$6,J826))),OR(Search!$N$7="",ISNUMBER(SEARCH(Search!$N$7,J826))),OR(Search!$N$8="",ISNUMBER(SEARCH(Search!$N$8,J826)))),1,0))</f>
        <v>0</v>
      </c>
      <c r="L826" s="1" t="n">
        <f aca="false">L825+K826</f>
        <v>0</v>
      </c>
    </row>
    <row r="827" customFormat="false" ht="15" hidden="false" customHeight="true" outlineLevel="0" collapsed="false">
      <c r="A827" s="1" t="s">
        <v>282</v>
      </c>
      <c r="B827" s="1" t="s">
        <v>1221</v>
      </c>
      <c r="C827" s="1" t="n">
        <v>23</v>
      </c>
      <c r="E827" s="1" t="s">
        <v>2381</v>
      </c>
      <c r="F827" s="1" t="s">
        <v>2377</v>
      </c>
      <c r="G827" s="1" t="s">
        <v>2393</v>
      </c>
      <c r="H827" s="1" t="s">
        <v>2394</v>
      </c>
      <c r="J827" s="1" t="s">
        <v>2395</v>
      </c>
      <c r="K827" s="1" t="n">
        <f aca="false">IF(Search!$D$5="",0,IF(AND(OR(Search!$N$5="",ISNUMBER(SEARCH(Search!$N$5,J827))),OR(Search!$N$6="",ISNUMBER(SEARCH(Search!$N$6,J827))),OR(Search!$N$7="",ISNUMBER(SEARCH(Search!$N$7,J827))),OR(Search!$N$8="",ISNUMBER(SEARCH(Search!$N$8,J827)))),1,0))</f>
        <v>0</v>
      </c>
      <c r="L827" s="1" t="n">
        <f aca="false">L826+K827</f>
        <v>0</v>
      </c>
    </row>
    <row r="828" customFormat="false" ht="15" hidden="false" customHeight="true" outlineLevel="0" collapsed="false">
      <c r="A828" s="1" t="s">
        <v>282</v>
      </c>
      <c r="B828" s="1" t="s">
        <v>1221</v>
      </c>
      <c r="C828" s="1" t="n">
        <v>24</v>
      </c>
      <c r="E828" s="1" t="s">
        <v>2396</v>
      </c>
      <c r="F828" s="1" t="s">
        <v>1409</v>
      </c>
      <c r="G828" s="1" t="s">
        <v>2397</v>
      </c>
      <c r="H828" s="1" t="s">
        <v>2398</v>
      </c>
      <c r="J828" s="1" t="s">
        <v>2399</v>
      </c>
      <c r="K828" s="1" t="n">
        <f aca="false">IF(Search!$D$5="",0,IF(AND(OR(Search!$N$5="",ISNUMBER(SEARCH(Search!$N$5,J828))),OR(Search!$N$6="",ISNUMBER(SEARCH(Search!$N$6,J828))),OR(Search!$N$7="",ISNUMBER(SEARCH(Search!$N$7,J828))),OR(Search!$N$8="",ISNUMBER(SEARCH(Search!$N$8,J828)))),1,0))</f>
        <v>0</v>
      </c>
      <c r="L828" s="1" t="n">
        <f aca="false">L827+K828</f>
        <v>0</v>
      </c>
    </row>
    <row r="829" customFormat="false" ht="15" hidden="false" customHeight="true" outlineLevel="0" collapsed="false">
      <c r="A829" s="1" t="s">
        <v>282</v>
      </c>
      <c r="B829" s="1" t="s">
        <v>1221</v>
      </c>
      <c r="C829" s="1" t="n">
        <v>25</v>
      </c>
      <c r="E829" s="1" t="s">
        <v>2396</v>
      </c>
      <c r="F829" s="1" t="s">
        <v>2358</v>
      </c>
      <c r="G829" s="1" t="s">
        <v>2400</v>
      </c>
      <c r="H829" s="1" t="s">
        <v>2401</v>
      </c>
      <c r="J829" s="1" t="s">
        <v>2402</v>
      </c>
      <c r="K829" s="1" t="n">
        <f aca="false">IF(Search!$D$5="",0,IF(AND(OR(Search!$N$5="",ISNUMBER(SEARCH(Search!$N$5,J829))),OR(Search!$N$6="",ISNUMBER(SEARCH(Search!$N$6,J829))),OR(Search!$N$7="",ISNUMBER(SEARCH(Search!$N$7,J829))),OR(Search!$N$8="",ISNUMBER(SEARCH(Search!$N$8,J829)))),1,0))</f>
        <v>0</v>
      </c>
      <c r="L829" s="1" t="n">
        <f aca="false">L828+K829</f>
        <v>0</v>
      </c>
    </row>
    <row r="830" customFormat="false" ht="15" hidden="false" customHeight="true" outlineLevel="0" collapsed="false">
      <c r="A830" s="1" t="s">
        <v>282</v>
      </c>
      <c r="B830" s="1" t="s">
        <v>1221</v>
      </c>
      <c r="C830" s="1" t="n">
        <v>26</v>
      </c>
      <c r="E830" s="1" t="s">
        <v>2396</v>
      </c>
      <c r="F830" s="1" t="s">
        <v>1830</v>
      </c>
      <c r="G830" s="1" t="s">
        <v>2053</v>
      </c>
      <c r="H830" s="1" t="s">
        <v>2054</v>
      </c>
      <c r="J830" s="1" t="s">
        <v>2403</v>
      </c>
      <c r="K830" s="1" t="n">
        <f aca="false">IF(Search!$D$5="",0,IF(AND(OR(Search!$N$5="",ISNUMBER(SEARCH(Search!$N$5,J830))),OR(Search!$N$6="",ISNUMBER(SEARCH(Search!$N$6,J830))),OR(Search!$N$7="",ISNUMBER(SEARCH(Search!$N$7,J830))),OR(Search!$N$8="",ISNUMBER(SEARCH(Search!$N$8,J830)))),1,0))</f>
        <v>0</v>
      </c>
      <c r="L830" s="1" t="n">
        <f aca="false">L829+K830</f>
        <v>0</v>
      </c>
    </row>
    <row r="831" customFormat="false" ht="15" hidden="false" customHeight="true" outlineLevel="0" collapsed="false">
      <c r="A831" s="1" t="s">
        <v>282</v>
      </c>
      <c r="B831" s="1" t="s">
        <v>1221</v>
      </c>
      <c r="C831" s="1" t="n">
        <v>27</v>
      </c>
      <c r="E831" s="1" t="s">
        <v>2404</v>
      </c>
      <c r="F831" s="1" t="s">
        <v>1409</v>
      </c>
      <c r="G831" s="1" t="s">
        <v>1919</v>
      </c>
      <c r="H831" s="1" t="s">
        <v>2372</v>
      </c>
      <c r="J831" s="1" t="s">
        <v>2405</v>
      </c>
      <c r="K831" s="1" t="n">
        <f aca="false">IF(Search!$D$5="",0,IF(AND(OR(Search!$N$5="",ISNUMBER(SEARCH(Search!$N$5,J831))),OR(Search!$N$6="",ISNUMBER(SEARCH(Search!$N$6,J831))),OR(Search!$N$7="",ISNUMBER(SEARCH(Search!$N$7,J831))),OR(Search!$N$8="",ISNUMBER(SEARCH(Search!$N$8,J831)))),1,0))</f>
        <v>0</v>
      </c>
      <c r="L831" s="1" t="n">
        <f aca="false">L830+K831</f>
        <v>0</v>
      </c>
    </row>
    <row r="832" customFormat="false" ht="15" hidden="false" customHeight="true" outlineLevel="0" collapsed="false">
      <c r="A832" s="1" t="s">
        <v>282</v>
      </c>
      <c r="B832" s="1" t="s">
        <v>1221</v>
      </c>
      <c r="C832" s="1" t="n">
        <v>28</v>
      </c>
      <c r="E832" s="1" t="s">
        <v>2404</v>
      </c>
      <c r="F832" s="1" t="s">
        <v>987</v>
      </c>
      <c r="G832" s="1" t="s">
        <v>2406</v>
      </c>
      <c r="H832" s="1" t="s">
        <v>2407</v>
      </c>
      <c r="J832" s="1" t="s">
        <v>2408</v>
      </c>
      <c r="K832" s="1" t="n">
        <f aca="false">IF(Search!$D$5="",0,IF(AND(OR(Search!$N$5="",ISNUMBER(SEARCH(Search!$N$5,J832))),OR(Search!$N$6="",ISNUMBER(SEARCH(Search!$N$6,J832))),OR(Search!$N$7="",ISNUMBER(SEARCH(Search!$N$7,J832))),OR(Search!$N$8="",ISNUMBER(SEARCH(Search!$N$8,J832)))),1,0))</f>
        <v>0</v>
      </c>
      <c r="L832" s="1" t="n">
        <f aca="false">L831+K832</f>
        <v>0</v>
      </c>
    </row>
    <row r="833" customFormat="false" ht="15" hidden="false" customHeight="true" outlineLevel="0" collapsed="false">
      <c r="A833" s="1" t="s">
        <v>282</v>
      </c>
      <c r="B833" s="1" t="s">
        <v>1221</v>
      </c>
      <c r="C833" s="1" t="n">
        <v>29</v>
      </c>
      <c r="E833" s="1" t="s">
        <v>2404</v>
      </c>
      <c r="F833" s="1" t="s">
        <v>2358</v>
      </c>
      <c r="G833" s="1" t="s">
        <v>2409</v>
      </c>
      <c r="H833" s="1" t="s">
        <v>2410</v>
      </c>
      <c r="J833" s="1" t="s">
        <v>2411</v>
      </c>
      <c r="K833" s="1" t="n">
        <f aca="false">IF(Search!$D$5="",0,IF(AND(OR(Search!$N$5="",ISNUMBER(SEARCH(Search!$N$5,J833))),OR(Search!$N$6="",ISNUMBER(SEARCH(Search!$N$6,J833))),OR(Search!$N$7="",ISNUMBER(SEARCH(Search!$N$7,J833))),OR(Search!$N$8="",ISNUMBER(SEARCH(Search!$N$8,J833)))),1,0))</f>
        <v>0</v>
      </c>
      <c r="L833" s="1" t="n">
        <f aca="false">L832+K833</f>
        <v>0</v>
      </c>
    </row>
    <row r="834" customFormat="false" ht="15" hidden="false" customHeight="true" outlineLevel="0" collapsed="false">
      <c r="A834" s="1" t="s">
        <v>282</v>
      </c>
      <c r="B834" s="1" t="s">
        <v>1221</v>
      </c>
      <c r="C834" s="1" t="n">
        <v>30</v>
      </c>
      <c r="E834" s="1" t="s">
        <v>2404</v>
      </c>
      <c r="F834" s="1" t="s">
        <v>1830</v>
      </c>
      <c r="G834" s="1" t="s">
        <v>2412</v>
      </c>
      <c r="H834" s="1" t="s">
        <v>2413</v>
      </c>
      <c r="J834" s="1" t="s">
        <v>2414</v>
      </c>
      <c r="K834" s="1" t="n">
        <f aca="false">IF(Search!$D$5="",0,IF(AND(OR(Search!$N$5="",ISNUMBER(SEARCH(Search!$N$5,J834))),OR(Search!$N$6="",ISNUMBER(SEARCH(Search!$N$6,J834))),OR(Search!$N$7="",ISNUMBER(SEARCH(Search!$N$7,J834))),OR(Search!$N$8="",ISNUMBER(SEARCH(Search!$N$8,J834)))),1,0))</f>
        <v>0</v>
      </c>
      <c r="L834" s="1" t="n">
        <f aca="false">L833+K834</f>
        <v>0</v>
      </c>
    </row>
    <row r="835" customFormat="false" ht="15" hidden="false" customHeight="true" outlineLevel="0" collapsed="false">
      <c r="A835" s="1" t="s">
        <v>282</v>
      </c>
      <c r="B835" s="1" t="s">
        <v>1221</v>
      </c>
      <c r="C835" s="1" t="n">
        <v>31</v>
      </c>
      <c r="E835" s="1" t="s">
        <v>2404</v>
      </c>
      <c r="F835" s="1" t="s">
        <v>2377</v>
      </c>
      <c r="G835" s="1" t="s">
        <v>2415</v>
      </c>
      <c r="H835" s="1" t="s">
        <v>2416</v>
      </c>
      <c r="J835" s="1" t="s">
        <v>2417</v>
      </c>
      <c r="K835" s="1" t="n">
        <f aca="false">IF(Search!$D$5="",0,IF(AND(OR(Search!$N$5="",ISNUMBER(SEARCH(Search!$N$5,J835))),OR(Search!$N$6="",ISNUMBER(SEARCH(Search!$N$6,J835))),OR(Search!$N$7="",ISNUMBER(SEARCH(Search!$N$7,J835))),OR(Search!$N$8="",ISNUMBER(SEARCH(Search!$N$8,J835)))),1,0))</f>
        <v>0</v>
      </c>
      <c r="L835" s="1" t="n">
        <f aca="false">L834+K835</f>
        <v>0</v>
      </c>
    </row>
    <row r="836" customFormat="false" ht="15" hidden="false" customHeight="true" outlineLevel="0" collapsed="false">
      <c r="A836" s="1" t="s">
        <v>282</v>
      </c>
      <c r="B836" s="1" t="s">
        <v>1221</v>
      </c>
      <c r="C836" s="1" t="n">
        <v>32</v>
      </c>
      <c r="E836" s="1" t="s">
        <v>2418</v>
      </c>
      <c r="F836" s="1" t="s">
        <v>1409</v>
      </c>
      <c r="G836" s="1" t="s">
        <v>2419</v>
      </c>
      <c r="H836" s="1" t="s">
        <v>2420</v>
      </c>
      <c r="J836" s="1" t="s">
        <v>2421</v>
      </c>
      <c r="K836" s="1" t="n">
        <f aca="false">IF(Search!$D$5="",0,IF(AND(OR(Search!$N$5="",ISNUMBER(SEARCH(Search!$N$5,J836))),OR(Search!$N$6="",ISNUMBER(SEARCH(Search!$N$6,J836))),OR(Search!$N$7="",ISNUMBER(SEARCH(Search!$N$7,J836))),OR(Search!$N$8="",ISNUMBER(SEARCH(Search!$N$8,J836)))),1,0))</f>
        <v>0</v>
      </c>
      <c r="L836" s="1" t="n">
        <f aca="false">L835+K836</f>
        <v>0</v>
      </c>
    </row>
    <row r="837" customFormat="false" ht="15" hidden="false" customHeight="true" outlineLevel="0" collapsed="false">
      <c r="A837" s="1" t="s">
        <v>282</v>
      </c>
      <c r="B837" s="1" t="s">
        <v>1221</v>
      </c>
      <c r="C837" s="1" t="n">
        <v>33</v>
      </c>
      <c r="E837" s="1" t="s">
        <v>2418</v>
      </c>
      <c r="F837" s="1" t="s">
        <v>987</v>
      </c>
      <c r="G837" s="1" t="s">
        <v>2422</v>
      </c>
      <c r="H837" s="1" t="s">
        <v>2423</v>
      </c>
      <c r="J837" s="1" t="s">
        <v>2424</v>
      </c>
      <c r="K837" s="1" t="n">
        <f aca="false">IF(Search!$D$5="",0,IF(AND(OR(Search!$N$5="",ISNUMBER(SEARCH(Search!$N$5,J837))),OR(Search!$N$6="",ISNUMBER(SEARCH(Search!$N$6,J837))),OR(Search!$N$7="",ISNUMBER(SEARCH(Search!$N$7,J837))),OR(Search!$N$8="",ISNUMBER(SEARCH(Search!$N$8,J837)))),1,0))</f>
        <v>0</v>
      </c>
      <c r="L837" s="1" t="n">
        <f aca="false">L836+K837</f>
        <v>0</v>
      </c>
    </row>
    <row r="838" customFormat="false" ht="15" hidden="false" customHeight="true" outlineLevel="0" collapsed="false">
      <c r="A838" s="1" t="s">
        <v>282</v>
      </c>
      <c r="B838" s="1" t="s">
        <v>1221</v>
      </c>
      <c r="C838" s="1" t="n">
        <v>34</v>
      </c>
      <c r="E838" s="1" t="s">
        <v>2418</v>
      </c>
      <c r="F838" s="1" t="s">
        <v>2358</v>
      </c>
      <c r="G838" s="1" t="s">
        <v>2425</v>
      </c>
      <c r="H838" s="1" t="s">
        <v>2426</v>
      </c>
      <c r="J838" s="1" t="s">
        <v>2427</v>
      </c>
      <c r="K838" s="1" t="n">
        <f aca="false">IF(Search!$D$5="",0,IF(AND(OR(Search!$N$5="",ISNUMBER(SEARCH(Search!$N$5,J838))),OR(Search!$N$6="",ISNUMBER(SEARCH(Search!$N$6,J838))),OR(Search!$N$7="",ISNUMBER(SEARCH(Search!$N$7,J838))),OR(Search!$N$8="",ISNUMBER(SEARCH(Search!$N$8,J838)))),1,0))</f>
        <v>0</v>
      </c>
      <c r="L838" s="1" t="n">
        <f aca="false">L837+K838</f>
        <v>0</v>
      </c>
    </row>
    <row r="839" customFormat="false" ht="15" hidden="false" customHeight="true" outlineLevel="0" collapsed="false">
      <c r="A839" s="1" t="s">
        <v>282</v>
      </c>
      <c r="B839" s="1" t="s">
        <v>1221</v>
      </c>
      <c r="C839" s="1" t="n">
        <v>35</v>
      </c>
      <c r="E839" s="1" t="s">
        <v>2418</v>
      </c>
      <c r="F839" s="1" t="s">
        <v>1830</v>
      </c>
      <c r="G839" s="1" t="s">
        <v>2428</v>
      </c>
      <c r="H839" s="1" t="s">
        <v>2429</v>
      </c>
      <c r="J839" s="1" t="s">
        <v>2430</v>
      </c>
      <c r="K839" s="1" t="n">
        <f aca="false">IF(Search!$D$5="",0,IF(AND(OR(Search!$N$5="",ISNUMBER(SEARCH(Search!$N$5,J839))),OR(Search!$N$6="",ISNUMBER(SEARCH(Search!$N$6,J839))),OR(Search!$N$7="",ISNUMBER(SEARCH(Search!$N$7,J839))),OR(Search!$N$8="",ISNUMBER(SEARCH(Search!$N$8,J839)))),1,0))</f>
        <v>0</v>
      </c>
      <c r="L839" s="1" t="n">
        <f aca="false">L838+K839</f>
        <v>0</v>
      </c>
    </row>
    <row r="840" customFormat="false" ht="15" hidden="false" customHeight="true" outlineLevel="0" collapsed="false">
      <c r="A840" s="1" t="s">
        <v>282</v>
      </c>
      <c r="B840" s="1" t="s">
        <v>1221</v>
      </c>
      <c r="C840" s="1" t="n">
        <v>36</v>
      </c>
      <c r="E840" s="1" t="s">
        <v>2418</v>
      </c>
      <c r="F840" s="1" t="s">
        <v>2377</v>
      </c>
      <c r="G840" s="1" t="s">
        <v>2431</v>
      </c>
      <c r="H840" s="1" t="s">
        <v>2432</v>
      </c>
      <c r="J840" s="1" t="s">
        <v>2433</v>
      </c>
      <c r="K840" s="1" t="n">
        <f aca="false">IF(Search!$D$5="",0,IF(AND(OR(Search!$N$5="",ISNUMBER(SEARCH(Search!$N$5,J840))),OR(Search!$N$6="",ISNUMBER(SEARCH(Search!$N$6,J840))),OR(Search!$N$7="",ISNUMBER(SEARCH(Search!$N$7,J840))),OR(Search!$N$8="",ISNUMBER(SEARCH(Search!$N$8,J840)))),1,0))</f>
        <v>0</v>
      </c>
      <c r="L840" s="1" t="n">
        <f aca="false">L839+K840</f>
        <v>0</v>
      </c>
    </row>
    <row r="841" customFormat="false" ht="15" hidden="false" customHeight="true" outlineLevel="0" collapsed="false">
      <c r="A841" s="1" t="s">
        <v>282</v>
      </c>
      <c r="B841" s="1" t="s">
        <v>1221</v>
      </c>
      <c r="C841" s="1" t="n">
        <v>37</v>
      </c>
      <c r="E841" s="1" t="s">
        <v>2434</v>
      </c>
      <c r="F841" s="1" t="s">
        <v>1409</v>
      </c>
      <c r="G841" s="1" t="s">
        <v>2400</v>
      </c>
      <c r="H841" s="1" t="s">
        <v>2401</v>
      </c>
      <c r="J841" s="1" t="s">
        <v>2435</v>
      </c>
      <c r="K841" s="1" t="n">
        <f aca="false">IF(Search!$D$5="",0,IF(AND(OR(Search!$N$5="",ISNUMBER(SEARCH(Search!$N$5,J841))),OR(Search!$N$6="",ISNUMBER(SEARCH(Search!$N$6,J841))),OR(Search!$N$7="",ISNUMBER(SEARCH(Search!$N$7,J841))),OR(Search!$N$8="",ISNUMBER(SEARCH(Search!$N$8,J841)))),1,0))</f>
        <v>0</v>
      </c>
      <c r="L841" s="1" t="n">
        <f aca="false">L840+K841</f>
        <v>0</v>
      </c>
    </row>
    <row r="842" customFormat="false" ht="15" hidden="false" customHeight="true" outlineLevel="0" collapsed="false">
      <c r="A842" s="1" t="s">
        <v>282</v>
      </c>
      <c r="B842" s="1" t="s">
        <v>1221</v>
      </c>
      <c r="C842" s="1" t="n">
        <v>38</v>
      </c>
      <c r="E842" s="1" t="s">
        <v>2434</v>
      </c>
      <c r="F842" s="1" t="s">
        <v>987</v>
      </c>
      <c r="G842" s="1" t="s">
        <v>2436</v>
      </c>
      <c r="H842" s="1" t="s">
        <v>2437</v>
      </c>
      <c r="J842" s="1" t="s">
        <v>2438</v>
      </c>
      <c r="K842" s="1" t="n">
        <f aca="false">IF(Search!$D$5="",0,IF(AND(OR(Search!$N$5="",ISNUMBER(SEARCH(Search!$N$5,J842))),OR(Search!$N$6="",ISNUMBER(SEARCH(Search!$N$6,J842))),OR(Search!$N$7="",ISNUMBER(SEARCH(Search!$N$7,J842))),OR(Search!$N$8="",ISNUMBER(SEARCH(Search!$N$8,J842)))),1,0))</f>
        <v>0</v>
      </c>
      <c r="L842" s="1" t="n">
        <f aca="false">L841+K842</f>
        <v>0</v>
      </c>
    </row>
    <row r="843" customFormat="false" ht="15" hidden="false" customHeight="true" outlineLevel="0" collapsed="false">
      <c r="A843" s="1" t="s">
        <v>282</v>
      </c>
      <c r="B843" s="1" t="s">
        <v>1221</v>
      </c>
      <c r="C843" s="1" t="n">
        <v>39</v>
      </c>
      <c r="E843" s="1" t="s">
        <v>2434</v>
      </c>
      <c r="F843" s="1" t="s">
        <v>2358</v>
      </c>
      <c r="G843" s="1" t="s">
        <v>2439</v>
      </c>
      <c r="H843" s="1" t="s">
        <v>2440</v>
      </c>
      <c r="J843" s="1" t="s">
        <v>2441</v>
      </c>
      <c r="K843" s="1" t="n">
        <f aca="false">IF(Search!$D$5="",0,IF(AND(OR(Search!$N$5="",ISNUMBER(SEARCH(Search!$N$5,J843))),OR(Search!$N$6="",ISNUMBER(SEARCH(Search!$N$6,J843))),OR(Search!$N$7="",ISNUMBER(SEARCH(Search!$N$7,J843))),OR(Search!$N$8="",ISNUMBER(SEARCH(Search!$N$8,J843)))),1,0))</f>
        <v>0</v>
      </c>
      <c r="L843" s="1" t="n">
        <f aca="false">L842+K843</f>
        <v>0</v>
      </c>
    </row>
    <row r="844" customFormat="false" ht="15" hidden="false" customHeight="true" outlineLevel="0" collapsed="false">
      <c r="A844" s="1" t="s">
        <v>282</v>
      </c>
      <c r="B844" s="1" t="s">
        <v>1221</v>
      </c>
      <c r="C844" s="1" t="n">
        <v>40</v>
      </c>
      <c r="E844" s="1" t="s">
        <v>2434</v>
      </c>
      <c r="F844" s="1" t="s">
        <v>1830</v>
      </c>
      <c r="G844" s="1" t="s">
        <v>2442</v>
      </c>
      <c r="H844" s="1" t="s">
        <v>2443</v>
      </c>
      <c r="J844" s="1" t="s">
        <v>2444</v>
      </c>
      <c r="K844" s="1" t="n">
        <f aca="false">IF(Search!$D$5="",0,IF(AND(OR(Search!$N$5="",ISNUMBER(SEARCH(Search!$N$5,J844))),OR(Search!$N$6="",ISNUMBER(SEARCH(Search!$N$6,J844))),OR(Search!$N$7="",ISNUMBER(SEARCH(Search!$N$7,J844))),OR(Search!$N$8="",ISNUMBER(SEARCH(Search!$N$8,J844)))),1,0))</f>
        <v>0</v>
      </c>
      <c r="L844" s="1" t="n">
        <f aca="false">L843+K844</f>
        <v>0</v>
      </c>
    </row>
    <row r="845" customFormat="false" ht="15" hidden="false" customHeight="true" outlineLevel="0" collapsed="false">
      <c r="A845" s="1" t="s">
        <v>282</v>
      </c>
      <c r="B845" s="1" t="s">
        <v>1221</v>
      </c>
      <c r="C845" s="1" t="n">
        <v>41</v>
      </c>
      <c r="E845" s="1" t="s">
        <v>2434</v>
      </c>
      <c r="F845" s="1" t="s">
        <v>2377</v>
      </c>
      <c r="G845" s="1" t="s">
        <v>2445</v>
      </c>
      <c r="H845" s="1" t="s">
        <v>2446</v>
      </c>
      <c r="J845" s="1" t="s">
        <v>2447</v>
      </c>
      <c r="K845" s="1" t="n">
        <f aca="false">IF(Search!$D$5="",0,IF(AND(OR(Search!$N$5="",ISNUMBER(SEARCH(Search!$N$5,J845))),OR(Search!$N$6="",ISNUMBER(SEARCH(Search!$N$6,J845))),OR(Search!$N$7="",ISNUMBER(SEARCH(Search!$N$7,J845))),OR(Search!$N$8="",ISNUMBER(SEARCH(Search!$N$8,J845)))),1,0))</f>
        <v>0</v>
      </c>
      <c r="L845" s="1" t="n">
        <f aca="false">L844+K845</f>
        <v>0</v>
      </c>
    </row>
    <row r="846" customFormat="false" ht="15" hidden="false" customHeight="true" outlineLevel="0" collapsed="false">
      <c r="A846" s="1" t="s">
        <v>282</v>
      </c>
      <c r="B846" s="1" t="s">
        <v>1221</v>
      </c>
      <c r="C846" s="1" t="n">
        <v>42</v>
      </c>
      <c r="E846" s="1" t="s">
        <v>2448</v>
      </c>
      <c r="F846" s="1" t="s">
        <v>1409</v>
      </c>
      <c r="G846" s="1" t="s">
        <v>2449</v>
      </c>
      <c r="H846" s="1" t="s">
        <v>2450</v>
      </c>
      <c r="J846" s="1" t="s">
        <v>2451</v>
      </c>
      <c r="K846" s="1" t="n">
        <f aca="false">IF(Search!$D$5="",0,IF(AND(OR(Search!$N$5="",ISNUMBER(SEARCH(Search!$N$5,J846))),OR(Search!$N$6="",ISNUMBER(SEARCH(Search!$N$6,J846))),OR(Search!$N$7="",ISNUMBER(SEARCH(Search!$N$7,J846))),OR(Search!$N$8="",ISNUMBER(SEARCH(Search!$N$8,J846)))),1,0))</f>
        <v>0</v>
      </c>
      <c r="L846" s="1" t="n">
        <f aca="false">L845+K846</f>
        <v>0</v>
      </c>
    </row>
    <row r="847" customFormat="false" ht="15" hidden="false" customHeight="true" outlineLevel="0" collapsed="false">
      <c r="A847" s="1" t="s">
        <v>282</v>
      </c>
      <c r="B847" s="1" t="s">
        <v>1221</v>
      </c>
      <c r="C847" s="1" t="n">
        <v>43</v>
      </c>
      <c r="E847" s="1" t="s">
        <v>2448</v>
      </c>
      <c r="F847" s="1" t="s">
        <v>987</v>
      </c>
      <c r="G847" s="1" t="s">
        <v>2436</v>
      </c>
      <c r="H847" s="1" t="s">
        <v>2437</v>
      </c>
      <c r="J847" s="1" t="s">
        <v>2452</v>
      </c>
      <c r="K847" s="1" t="n">
        <f aca="false">IF(Search!$D$5="",0,IF(AND(OR(Search!$N$5="",ISNUMBER(SEARCH(Search!$N$5,J847))),OR(Search!$N$6="",ISNUMBER(SEARCH(Search!$N$6,J847))),OR(Search!$N$7="",ISNUMBER(SEARCH(Search!$N$7,J847))),OR(Search!$N$8="",ISNUMBER(SEARCH(Search!$N$8,J847)))),1,0))</f>
        <v>0</v>
      </c>
      <c r="L847" s="1" t="n">
        <f aca="false">L846+K847</f>
        <v>0</v>
      </c>
    </row>
    <row r="848" customFormat="false" ht="15" hidden="false" customHeight="true" outlineLevel="0" collapsed="false">
      <c r="A848" s="1" t="s">
        <v>282</v>
      </c>
      <c r="B848" s="1" t="s">
        <v>1221</v>
      </c>
      <c r="C848" s="1" t="n">
        <v>44</v>
      </c>
      <c r="E848" s="1" t="s">
        <v>2448</v>
      </c>
      <c r="F848" s="1" t="s">
        <v>2358</v>
      </c>
      <c r="G848" s="1" t="s">
        <v>2453</v>
      </c>
      <c r="H848" s="1" t="s">
        <v>2454</v>
      </c>
      <c r="J848" s="1" t="s">
        <v>2455</v>
      </c>
      <c r="K848" s="1" t="n">
        <f aca="false">IF(Search!$D$5="",0,IF(AND(OR(Search!$N$5="",ISNUMBER(SEARCH(Search!$N$5,J848))),OR(Search!$N$6="",ISNUMBER(SEARCH(Search!$N$6,J848))),OR(Search!$N$7="",ISNUMBER(SEARCH(Search!$N$7,J848))),OR(Search!$N$8="",ISNUMBER(SEARCH(Search!$N$8,J848)))),1,0))</f>
        <v>0</v>
      </c>
      <c r="L848" s="1" t="n">
        <f aca="false">L847+K848</f>
        <v>0</v>
      </c>
    </row>
    <row r="849" customFormat="false" ht="15" hidden="false" customHeight="true" outlineLevel="0" collapsed="false">
      <c r="A849" s="1" t="s">
        <v>282</v>
      </c>
      <c r="B849" s="1" t="s">
        <v>1221</v>
      </c>
      <c r="C849" s="1" t="n">
        <v>45</v>
      </c>
      <c r="E849" s="1" t="s">
        <v>2448</v>
      </c>
      <c r="F849" s="1" t="s">
        <v>1830</v>
      </c>
      <c r="G849" s="1" t="s">
        <v>2456</v>
      </c>
      <c r="H849" s="1" t="s">
        <v>2457</v>
      </c>
      <c r="J849" s="1" t="s">
        <v>2458</v>
      </c>
      <c r="K849" s="1" t="n">
        <f aca="false">IF(Search!$D$5="",0,IF(AND(OR(Search!$N$5="",ISNUMBER(SEARCH(Search!$N$5,J849))),OR(Search!$N$6="",ISNUMBER(SEARCH(Search!$N$6,J849))),OR(Search!$N$7="",ISNUMBER(SEARCH(Search!$N$7,J849))),OR(Search!$N$8="",ISNUMBER(SEARCH(Search!$N$8,J849)))),1,0))</f>
        <v>0</v>
      </c>
      <c r="L849" s="1" t="n">
        <f aca="false">L848+K849</f>
        <v>0</v>
      </c>
    </row>
    <row r="850" customFormat="false" ht="15" hidden="false" customHeight="true" outlineLevel="0" collapsed="false">
      <c r="A850" s="1" t="s">
        <v>282</v>
      </c>
      <c r="B850" s="1" t="s">
        <v>1221</v>
      </c>
      <c r="C850" s="1" t="n">
        <v>46</v>
      </c>
      <c r="E850" s="1" t="s">
        <v>2448</v>
      </c>
      <c r="F850" s="1" t="s">
        <v>2377</v>
      </c>
      <c r="G850" s="1" t="s">
        <v>2459</v>
      </c>
      <c r="H850" s="1" t="s">
        <v>2460</v>
      </c>
      <c r="J850" s="1" t="s">
        <v>2461</v>
      </c>
      <c r="K850" s="1" t="n">
        <f aca="false">IF(Search!$D$5="",0,IF(AND(OR(Search!$N$5="",ISNUMBER(SEARCH(Search!$N$5,J850))),OR(Search!$N$6="",ISNUMBER(SEARCH(Search!$N$6,J850))),OR(Search!$N$7="",ISNUMBER(SEARCH(Search!$N$7,J850))),OR(Search!$N$8="",ISNUMBER(SEARCH(Search!$N$8,J850)))),1,0))</f>
        <v>0</v>
      </c>
      <c r="L850" s="1" t="n">
        <f aca="false">L849+K850</f>
        <v>0</v>
      </c>
    </row>
    <row r="851" customFormat="false" ht="15" hidden="false" customHeight="true" outlineLevel="0" collapsed="false">
      <c r="A851" s="1" t="s">
        <v>282</v>
      </c>
      <c r="B851" s="1" t="s">
        <v>1221</v>
      </c>
      <c r="C851" s="1" t="n">
        <v>47</v>
      </c>
      <c r="E851" s="1" t="s">
        <v>2462</v>
      </c>
      <c r="F851" s="1" t="s">
        <v>1409</v>
      </c>
      <c r="G851" s="1" t="s">
        <v>2463</v>
      </c>
      <c r="H851" s="1" t="s">
        <v>2464</v>
      </c>
      <c r="J851" s="1" t="s">
        <v>2465</v>
      </c>
      <c r="K851" s="1" t="n">
        <f aca="false">IF(Search!$D$5="",0,IF(AND(OR(Search!$N$5="",ISNUMBER(SEARCH(Search!$N$5,J851))),OR(Search!$N$6="",ISNUMBER(SEARCH(Search!$N$6,J851))),OR(Search!$N$7="",ISNUMBER(SEARCH(Search!$N$7,J851))),OR(Search!$N$8="",ISNUMBER(SEARCH(Search!$N$8,J851)))),1,0))</f>
        <v>0</v>
      </c>
      <c r="L851" s="1" t="n">
        <f aca="false">L850+K851</f>
        <v>0</v>
      </c>
    </row>
    <row r="852" customFormat="false" ht="15" hidden="false" customHeight="true" outlineLevel="0" collapsed="false">
      <c r="A852" s="1" t="s">
        <v>282</v>
      </c>
      <c r="B852" s="1" t="s">
        <v>1221</v>
      </c>
      <c r="C852" s="1" t="n">
        <v>48</v>
      </c>
      <c r="E852" s="1" t="s">
        <v>2462</v>
      </c>
      <c r="F852" s="1" t="s">
        <v>987</v>
      </c>
      <c r="G852" s="1" t="s">
        <v>1402</v>
      </c>
      <c r="H852" s="1" t="s">
        <v>2466</v>
      </c>
      <c r="J852" s="1" t="s">
        <v>2467</v>
      </c>
      <c r="K852" s="1" t="n">
        <f aca="false">IF(Search!$D$5="",0,IF(AND(OR(Search!$N$5="",ISNUMBER(SEARCH(Search!$N$5,J852))),OR(Search!$N$6="",ISNUMBER(SEARCH(Search!$N$6,J852))),OR(Search!$N$7="",ISNUMBER(SEARCH(Search!$N$7,J852))),OR(Search!$N$8="",ISNUMBER(SEARCH(Search!$N$8,J852)))),1,0))</f>
        <v>0</v>
      </c>
      <c r="L852" s="1" t="n">
        <f aca="false">L851+K852</f>
        <v>0</v>
      </c>
    </row>
    <row r="853" customFormat="false" ht="15" hidden="false" customHeight="true" outlineLevel="0" collapsed="false">
      <c r="A853" s="1" t="s">
        <v>282</v>
      </c>
      <c r="B853" s="1" t="s">
        <v>1221</v>
      </c>
      <c r="C853" s="1" t="n">
        <v>49</v>
      </c>
      <c r="E853" s="1" t="s">
        <v>2462</v>
      </c>
      <c r="F853" s="1" t="s">
        <v>2358</v>
      </c>
      <c r="G853" s="1" t="s">
        <v>2468</v>
      </c>
      <c r="H853" s="1" t="s">
        <v>2469</v>
      </c>
      <c r="J853" s="1" t="s">
        <v>2470</v>
      </c>
      <c r="K853" s="1" t="n">
        <f aca="false">IF(Search!$D$5="",0,IF(AND(OR(Search!$N$5="",ISNUMBER(SEARCH(Search!$N$5,J853))),OR(Search!$N$6="",ISNUMBER(SEARCH(Search!$N$6,J853))),OR(Search!$N$7="",ISNUMBER(SEARCH(Search!$N$7,J853))),OR(Search!$N$8="",ISNUMBER(SEARCH(Search!$N$8,J853)))),1,0))</f>
        <v>0</v>
      </c>
      <c r="L853" s="1" t="n">
        <f aca="false">L852+K853</f>
        <v>0</v>
      </c>
    </row>
    <row r="854" customFormat="false" ht="15" hidden="false" customHeight="true" outlineLevel="0" collapsed="false">
      <c r="A854" s="1" t="s">
        <v>282</v>
      </c>
      <c r="B854" s="1" t="s">
        <v>1221</v>
      </c>
      <c r="C854" s="1" t="n">
        <v>50</v>
      </c>
      <c r="E854" s="1" t="s">
        <v>2462</v>
      </c>
      <c r="F854" s="1" t="s">
        <v>1830</v>
      </c>
      <c r="G854" s="1" t="s">
        <v>2471</v>
      </c>
      <c r="H854" s="1" t="s">
        <v>2472</v>
      </c>
      <c r="J854" s="1" t="s">
        <v>2473</v>
      </c>
      <c r="K854" s="1" t="n">
        <f aca="false">IF(Search!$D$5="",0,IF(AND(OR(Search!$N$5="",ISNUMBER(SEARCH(Search!$N$5,J854))),OR(Search!$N$6="",ISNUMBER(SEARCH(Search!$N$6,J854))),OR(Search!$N$7="",ISNUMBER(SEARCH(Search!$N$7,J854))),OR(Search!$N$8="",ISNUMBER(SEARCH(Search!$N$8,J854)))),1,0))</f>
        <v>0</v>
      </c>
      <c r="L854" s="1" t="n">
        <f aca="false">L853+K854</f>
        <v>0</v>
      </c>
    </row>
    <row r="855" customFormat="false" ht="15" hidden="false" customHeight="true" outlineLevel="0" collapsed="false">
      <c r="A855" s="1" t="s">
        <v>282</v>
      </c>
      <c r="B855" s="1" t="s">
        <v>1221</v>
      </c>
      <c r="C855" s="1" t="n">
        <v>51</v>
      </c>
      <c r="E855" s="1" t="s">
        <v>2462</v>
      </c>
      <c r="F855" s="1" t="s">
        <v>2377</v>
      </c>
      <c r="G855" s="1" t="s">
        <v>2474</v>
      </c>
      <c r="H855" s="1" t="s">
        <v>2475</v>
      </c>
      <c r="J855" s="1" t="s">
        <v>2476</v>
      </c>
      <c r="K855" s="1" t="n">
        <f aca="false">IF(Search!$D$5="",0,IF(AND(OR(Search!$N$5="",ISNUMBER(SEARCH(Search!$N$5,J855))),OR(Search!$N$6="",ISNUMBER(SEARCH(Search!$N$6,J855))),OR(Search!$N$7="",ISNUMBER(SEARCH(Search!$N$7,J855))),OR(Search!$N$8="",ISNUMBER(SEARCH(Search!$N$8,J855)))),1,0))</f>
        <v>0</v>
      </c>
      <c r="L855" s="1" t="n">
        <f aca="false">L854+K855</f>
        <v>0</v>
      </c>
    </row>
    <row r="856" customFormat="false" ht="15" hidden="false" customHeight="true" outlineLevel="0" collapsed="false">
      <c r="A856" s="1" t="s">
        <v>282</v>
      </c>
      <c r="B856" s="1" t="s">
        <v>1221</v>
      </c>
      <c r="C856" s="1" t="n">
        <v>52</v>
      </c>
      <c r="E856" s="1" t="s">
        <v>2477</v>
      </c>
      <c r="F856" s="1" t="s">
        <v>1409</v>
      </c>
      <c r="G856" s="1" t="s">
        <v>2478</v>
      </c>
      <c r="H856" s="1" t="s">
        <v>2479</v>
      </c>
      <c r="J856" s="1" t="s">
        <v>2480</v>
      </c>
      <c r="K856" s="1" t="n">
        <f aca="false">IF(Search!$D$5="",0,IF(AND(OR(Search!$N$5="",ISNUMBER(SEARCH(Search!$N$5,J856))),OR(Search!$N$6="",ISNUMBER(SEARCH(Search!$N$6,J856))),OR(Search!$N$7="",ISNUMBER(SEARCH(Search!$N$7,J856))),OR(Search!$N$8="",ISNUMBER(SEARCH(Search!$N$8,J856)))),1,0))</f>
        <v>0</v>
      </c>
      <c r="L856" s="1" t="n">
        <f aca="false">L855+K856</f>
        <v>0</v>
      </c>
    </row>
    <row r="857" customFormat="false" ht="15" hidden="false" customHeight="true" outlineLevel="0" collapsed="false">
      <c r="A857" s="1" t="s">
        <v>282</v>
      </c>
      <c r="B857" s="1" t="s">
        <v>1221</v>
      </c>
      <c r="C857" s="1" t="n">
        <v>53</v>
      </c>
      <c r="E857" s="1" t="s">
        <v>2477</v>
      </c>
      <c r="F857" s="1" t="s">
        <v>987</v>
      </c>
      <c r="G857" s="1" t="s">
        <v>2481</v>
      </c>
      <c r="H857" s="1" t="s">
        <v>2482</v>
      </c>
      <c r="J857" s="1" t="s">
        <v>2483</v>
      </c>
      <c r="K857" s="1" t="n">
        <f aca="false">IF(Search!$D$5="",0,IF(AND(OR(Search!$N$5="",ISNUMBER(SEARCH(Search!$N$5,J857))),OR(Search!$N$6="",ISNUMBER(SEARCH(Search!$N$6,J857))),OR(Search!$N$7="",ISNUMBER(SEARCH(Search!$N$7,J857))),OR(Search!$N$8="",ISNUMBER(SEARCH(Search!$N$8,J857)))),1,0))</f>
        <v>0</v>
      </c>
      <c r="L857" s="1" t="n">
        <f aca="false">L856+K857</f>
        <v>0</v>
      </c>
    </row>
    <row r="858" customFormat="false" ht="15" hidden="false" customHeight="true" outlineLevel="0" collapsed="false">
      <c r="A858" s="1" t="s">
        <v>282</v>
      </c>
      <c r="B858" s="1" t="s">
        <v>1221</v>
      </c>
      <c r="C858" s="1" t="n">
        <v>54</v>
      </c>
      <c r="E858" s="1" t="s">
        <v>2477</v>
      </c>
      <c r="F858" s="1" t="s">
        <v>1830</v>
      </c>
      <c r="G858" s="1" t="s">
        <v>2484</v>
      </c>
      <c r="H858" s="1" t="s">
        <v>2485</v>
      </c>
      <c r="J858" s="1" t="s">
        <v>2486</v>
      </c>
      <c r="K858" s="1" t="n">
        <f aca="false">IF(Search!$D$5="",0,IF(AND(OR(Search!$N$5="",ISNUMBER(SEARCH(Search!$N$5,J858))),OR(Search!$N$6="",ISNUMBER(SEARCH(Search!$N$6,J858))),OR(Search!$N$7="",ISNUMBER(SEARCH(Search!$N$7,J858))),OR(Search!$N$8="",ISNUMBER(SEARCH(Search!$N$8,J858)))),1,0))</f>
        <v>0</v>
      </c>
      <c r="L858" s="1" t="n">
        <f aca="false">L857+K858</f>
        <v>0</v>
      </c>
    </row>
    <row r="859" customFormat="false" ht="15" hidden="false" customHeight="true" outlineLevel="0" collapsed="false">
      <c r="A859" s="1" t="s">
        <v>282</v>
      </c>
      <c r="B859" s="1" t="s">
        <v>1221</v>
      </c>
      <c r="C859" s="1" t="n">
        <v>55</v>
      </c>
      <c r="E859" s="1" t="s">
        <v>2477</v>
      </c>
      <c r="F859" s="1" t="s">
        <v>2377</v>
      </c>
      <c r="G859" s="1" t="s">
        <v>2487</v>
      </c>
      <c r="H859" s="1" t="s">
        <v>2488</v>
      </c>
      <c r="J859" s="1" t="s">
        <v>2489</v>
      </c>
      <c r="K859" s="1" t="n">
        <f aca="false">IF(Search!$D$5="",0,IF(AND(OR(Search!$N$5="",ISNUMBER(SEARCH(Search!$N$5,J859))),OR(Search!$N$6="",ISNUMBER(SEARCH(Search!$N$6,J859))),OR(Search!$N$7="",ISNUMBER(SEARCH(Search!$N$7,J859))),OR(Search!$N$8="",ISNUMBER(SEARCH(Search!$N$8,J859)))),1,0))</f>
        <v>0</v>
      </c>
      <c r="L859" s="1" t="n">
        <f aca="false">L858+K859</f>
        <v>0</v>
      </c>
    </row>
    <row r="860" customFormat="false" ht="15" hidden="false" customHeight="true" outlineLevel="0" collapsed="false">
      <c r="A860" s="1" t="s">
        <v>282</v>
      </c>
      <c r="B860" s="1" t="s">
        <v>1221</v>
      </c>
      <c r="C860" s="1" t="n">
        <v>56</v>
      </c>
      <c r="E860" s="1" t="s">
        <v>2490</v>
      </c>
      <c r="F860" s="1" t="s">
        <v>1409</v>
      </c>
      <c r="G860" s="1" t="s">
        <v>2491</v>
      </c>
      <c r="H860" s="1" t="s">
        <v>2492</v>
      </c>
      <c r="J860" s="1" t="s">
        <v>2493</v>
      </c>
      <c r="K860" s="1" t="n">
        <f aca="false">IF(Search!$D$5="",0,IF(AND(OR(Search!$N$5="",ISNUMBER(SEARCH(Search!$N$5,J860))),OR(Search!$N$6="",ISNUMBER(SEARCH(Search!$N$6,J860))),OR(Search!$N$7="",ISNUMBER(SEARCH(Search!$N$7,J860))),OR(Search!$N$8="",ISNUMBER(SEARCH(Search!$N$8,J860)))),1,0))</f>
        <v>0</v>
      </c>
      <c r="L860" s="1" t="n">
        <f aca="false">L859+K860</f>
        <v>0</v>
      </c>
    </row>
    <row r="861" customFormat="false" ht="15" hidden="false" customHeight="true" outlineLevel="0" collapsed="false">
      <c r="A861" s="1" t="s">
        <v>282</v>
      </c>
      <c r="B861" s="1" t="s">
        <v>1221</v>
      </c>
      <c r="C861" s="1" t="n">
        <v>57</v>
      </c>
      <c r="E861" s="1" t="s">
        <v>2490</v>
      </c>
      <c r="F861" s="1" t="s">
        <v>987</v>
      </c>
      <c r="G861" s="1" t="s">
        <v>2468</v>
      </c>
      <c r="H861" s="1" t="s">
        <v>2469</v>
      </c>
      <c r="J861" s="1" t="s">
        <v>2494</v>
      </c>
      <c r="K861" s="1" t="n">
        <f aca="false">IF(Search!$D$5="",0,IF(AND(OR(Search!$N$5="",ISNUMBER(SEARCH(Search!$N$5,J861))),OR(Search!$N$6="",ISNUMBER(SEARCH(Search!$N$6,J861))),OR(Search!$N$7="",ISNUMBER(SEARCH(Search!$N$7,J861))),OR(Search!$N$8="",ISNUMBER(SEARCH(Search!$N$8,J861)))),1,0))</f>
        <v>0</v>
      </c>
      <c r="L861" s="1" t="n">
        <f aca="false">L860+K861</f>
        <v>0</v>
      </c>
    </row>
    <row r="862" customFormat="false" ht="15" hidden="false" customHeight="true" outlineLevel="0" collapsed="false">
      <c r="A862" s="1" t="s">
        <v>282</v>
      </c>
      <c r="B862" s="1" t="s">
        <v>1221</v>
      </c>
      <c r="C862" s="1" t="n">
        <v>58</v>
      </c>
      <c r="E862" s="1" t="s">
        <v>2490</v>
      </c>
      <c r="F862" s="1" t="s">
        <v>2358</v>
      </c>
      <c r="G862" s="1" t="s">
        <v>2495</v>
      </c>
      <c r="H862" s="1" t="s">
        <v>2496</v>
      </c>
      <c r="J862" s="1" t="s">
        <v>2497</v>
      </c>
      <c r="K862" s="1" t="n">
        <f aca="false">IF(Search!$D$5="",0,IF(AND(OR(Search!$N$5="",ISNUMBER(SEARCH(Search!$N$5,J862))),OR(Search!$N$6="",ISNUMBER(SEARCH(Search!$N$6,J862))),OR(Search!$N$7="",ISNUMBER(SEARCH(Search!$N$7,J862))),OR(Search!$N$8="",ISNUMBER(SEARCH(Search!$N$8,J862)))),1,0))</f>
        <v>0</v>
      </c>
      <c r="L862" s="1" t="n">
        <f aca="false">L861+K862</f>
        <v>0</v>
      </c>
    </row>
    <row r="863" customFormat="false" ht="15" hidden="false" customHeight="true" outlineLevel="0" collapsed="false">
      <c r="A863" s="1" t="s">
        <v>282</v>
      </c>
      <c r="B863" s="1" t="s">
        <v>1221</v>
      </c>
      <c r="C863" s="1" t="n">
        <v>59</v>
      </c>
      <c r="E863" s="1" t="s">
        <v>2490</v>
      </c>
      <c r="F863" s="1" t="s">
        <v>1830</v>
      </c>
      <c r="G863" s="1" t="s">
        <v>2498</v>
      </c>
      <c r="H863" s="1" t="s">
        <v>2499</v>
      </c>
      <c r="J863" s="1" t="s">
        <v>2500</v>
      </c>
      <c r="K863" s="1" t="n">
        <f aca="false">IF(Search!$D$5="",0,IF(AND(OR(Search!$N$5="",ISNUMBER(SEARCH(Search!$N$5,J863))),OR(Search!$N$6="",ISNUMBER(SEARCH(Search!$N$6,J863))),OR(Search!$N$7="",ISNUMBER(SEARCH(Search!$N$7,J863))),OR(Search!$N$8="",ISNUMBER(SEARCH(Search!$N$8,J863)))),1,0))</f>
        <v>0</v>
      </c>
      <c r="L863" s="1" t="n">
        <f aca="false">L862+K863</f>
        <v>0</v>
      </c>
    </row>
    <row r="864" customFormat="false" ht="15" hidden="false" customHeight="true" outlineLevel="0" collapsed="false">
      <c r="A864" s="1" t="s">
        <v>282</v>
      </c>
      <c r="B864" s="1" t="s">
        <v>1221</v>
      </c>
      <c r="C864" s="1" t="n">
        <v>60</v>
      </c>
      <c r="E864" s="1" t="s">
        <v>2490</v>
      </c>
      <c r="F864" s="1" t="s">
        <v>2377</v>
      </c>
      <c r="G864" s="1" t="s">
        <v>2501</v>
      </c>
      <c r="H864" s="1" t="s">
        <v>2502</v>
      </c>
      <c r="J864" s="1" t="s">
        <v>2503</v>
      </c>
      <c r="K864" s="1" t="n">
        <f aca="false">IF(Search!$D$5="",0,IF(AND(OR(Search!$N$5="",ISNUMBER(SEARCH(Search!$N$5,J864))),OR(Search!$N$6="",ISNUMBER(SEARCH(Search!$N$6,J864))),OR(Search!$N$7="",ISNUMBER(SEARCH(Search!$N$7,J864))),OR(Search!$N$8="",ISNUMBER(SEARCH(Search!$N$8,J864)))),1,0))</f>
        <v>0</v>
      </c>
      <c r="L864" s="1" t="n">
        <f aca="false">L863+K864</f>
        <v>0</v>
      </c>
    </row>
    <row r="865" customFormat="false" ht="15" hidden="false" customHeight="true" outlineLevel="0" collapsed="false">
      <c r="A865" s="1" t="s">
        <v>282</v>
      </c>
      <c r="B865" s="1" t="s">
        <v>1221</v>
      </c>
      <c r="C865" s="1" t="n">
        <v>61</v>
      </c>
      <c r="E865" s="1" t="s">
        <v>2504</v>
      </c>
      <c r="F865" s="1" t="s">
        <v>1409</v>
      </c>
      <c r="G865" s="1" t="s">
        <v>1548</v>
      </c>
      <c r="H865" s="1" t="s">
        <v>1549</v>
      </c>
      <c r="J865" s="1" t="s">
        <v>2505</v>
      </c>
      <c r="K865" s="1" t="n">
        <f aca="false">IF(Search!$D$5="",0,IF(AND(OR(Search!$N$5="",ISNUMBER(SEARCH(Search!$N$5,J865))),OR(Search!$N$6="",ISNUMBER(SEARCH(Search!$N$6,J865))),OR(Search!$N$7="",ISNUMBER(SEARCH(Search!$N$7,J865))),OR(Search!$N$8="",ISNUMBER(SEARCH(Search!$N$8,J865)))),1,0))</f>
        <v>0</v>
      </c>
      <c r="L865" s="1" t="n">
        <f aca="false">L864+K865</f>
        <v>0</v>
      </c>
    </row>
    <row r="866" customFormat="false" ht="15" hidden="false" customHeight="true" outlineLevel="0" collapsed="false">
      <c r="A866" s="1" t="s">
        <v>282</v>
      </c>
      <c r="B866" s="1" t="s">
        <v>1221</v>
      </c>
      <c r="C866" s="1" t="n">
        <v>62</v>
      </c>
      <c r="E866" s="1" t="s">
        <v>2504</v>
      </c>
      <c r="F866" s="1" t="s">
        <v>987</v>
      </c>
      <c r="G866" s="1" t="s">
        <v>2260</v>
      </c>
      <c r="H866" s="1" t="s">
        <v>2506</v>
      </c>
      <c r="J866" s="1" t="s">
        <v>2507</v>
      </c>
      <c r="K866" s="1" t="n">
        <f aca="false">IF(Search!$D$5="",0,IF(AND(OR(Search!$N$5="",ISNUMBER(SEARCH(Search!$N$5,J866))),OR(Search!$N$6="",ISNUMBER(SEARCH(Search!$N$6,J866))),OR(Search!$N$7="",ISNUMBER(SEARCH(Search!$N$7,J866))),OR(Search!$N$8="",ISNUMBER(SEARCH(Search!$N$8,J866)))),1,0))</f>
        <v>0</v>
      </c>
      <c r="L866" s="1" t="n">
        <f aca="false">L865+K866</f>
        <v>0</v>
      </c>
    </row>
    <row r="867" customFormat="false" ht="15" hidden="false" customHeight="true" outlineLevel="0" collapsed="false">
      <c r="A867" s="1" t="s">
        <v>282</v>
      </c>
      <c r="B867" s="1" t="s">
        <v>1221</v>
      </c>
      <c r="C867" s="1" t="n">
        <v>63</v>
      </c>
      <c r="E867" s="1" t="s">
        <v>2504</v>
      </c>
      <c r="F867" s="1" t="s">
        <v>2358</v>
      </c>
      <c r="G867" s="1" t="s">
        <v>2508</v>
      </c>
      <c r="H867" s="1" t="s">
        <v>2509</v>
      </c>
      <c r="J867" s="1" t="s">
        <v>2510</v>
      </c>
      <c r="K867" s="1" t="n">
        <f aca="false">IF(Search!$D$5="",0,IF(AND(OR(Search!$N$5="",ISNUMBER(SEARCH(Search!$N$5,J867))),OR(Search!$N$6="",ISNUMBER(SEARCH(Search!$N$6,J867))),OR(Search!$N$7="",ISNUMBER(SEARCH(Search!$N$7,J867))),OR(Search!$N$8="",ISNUMBER(SEARCH(Search!$N$8,J867)))),1,0))</f>
        <v>0</v>
      </c>
      <c r="L867" s="1" t="n">
        <f aca="false">L866+K867</f>
        <v>0</v>
      </c>
    </row>
    <row r="868" customFormat="false" ht="15" hidden="false" customHeight="true" outlineLevel="0" collapsed="false">
      <c r="A868" s="1" t="s">
        <v>282</v>
      </c>
      <c r="B868" s="1" t="s">
        <v>1221</v>
      </c>
      <c r="C868" s="1" t="n">
        <v>64</v>
      </c>
      <c r="E868" s="1" t="s">
        <v>2504</v>
      </c>
      <c r="F868" s="1" t="s">
        <v>1830</v>
      </c>
      <c r="G868" s="1" t="s">
        <v>2044</v>
      </c>
      <c r="H868" s="1" t="s">
        <v>2045</v>
      </c>
      <c r="J868" s="1" t="s">
        <v>2511</v>
      </c>
      <c r="K868" s="1" t="n">
        <f aca="false">IF(Search!$D$5="",0,IF(AND(OR(Search!$N$5="",ISNUMBER(SEARCH(Search!$N$5,J868))),OR(Search!$N$6="",ISNUMBER(SEARCH(Search!$N$6,J868))),OR(Search!$N$7="",ISNUMBER(SEARCH(Search!$N$7,J868))),OR(Search!$N$8="",ISNUMBER(SEARCH(Search!$N$8,J868)))),1,0))</f>
        <v>0</v>
      </c>
      <c r="L868" s="1" t="n">
        <f aca="false">L867+K868</f>
        <v>0</v>
      </c>
    </row>
    <row r="869" customFormat="false" ht="15" hidden="false" customHeight="true" outlineLevel="0" collapsed="false">
      <c r="A869" s="1" t="s">
        <v>282</v>
      </c>
      <c r="B869" s="1" t="s">
        <v>1221</v>
      </c>
      <c r="C869" s="1" t="n">
        <v>65</v>
      </c>
      <c r="E869" s="1" t="s">
        <v>2504</v>
      </c>
      <c r="F869" s="1" t="s">
        <v>2377</v>
      </c>
      <c r="G869" s="1" t="s">
        <v>1745</v>
      </c>
      <c r="H869" s="1" t="s">
        <v>1746</v>
      </c>
      <c r="J869" s="1" t="s">
        <v>2512</v>
      </c>
      <c r="K869" s="1" t="n">
        <f aca="false">IF(Search!$D$5="",0,IF(AND(OR(Search!$N$5="",ISNUMBER(SEARCH(Search!$N$5,J869))),OR(Search!$N$6="",ISNUMBER(SEARCH(Search!$N$6,J869))),OR(Search!$N$7="",ISNUMBER(SEARCH(Search!$N$7,J869))),OR(Search!$N$8="",ISNUMBER(SEARCH(Search!$N$8,J869)))),1,0))</f>
        <v>0</v>
      </c>
      <c r="L869" s="1" t="n">
        <f aca="false">L868+K869</f>
        <v>0</v>
      </c>
    </row>
    <row r="870" customFormat="false" ht="15" hidden="false" customHeight="true" outlineLevel="0" collapsed="false">
      <c r="A870" s="1" t="s">
        <v>282</v>
      </c>
      <c r="B870" s="1" t="s">
        <v>1221</v>
      </c>
      <c r="C870" s="1" t="n">
        <v>68</v>
      </c>
      <c r="E870" s="1" t="s">
        <v>2513</v>
      </c>
      <c r="J870" s="1" t="s">
        <v>2513</v>
      </c>
      <c r="K870" s="1" t="n">
        <f aca="false">IF(Search!$D$5="",0,IF(AND(OR(Search!$N$5="",ISNUMBER(SEARCH(Search!$N$5,J870))),OR(Search!$N$6="",ISNUMBER(SEARCH(Search!$N$6,J870))),OR(Search!$N$7="",ISNUMBER(SEARCH(Search!$N$7,J870))),OR(Search!$N$8="",ISNUMBER(SEARCH(Search!$N$8,J870)))),1,0))</f>
        <v>0</v>
      </c>
      <c r="L870" s="1" t="n">
        <f aca="false">L869+K870</f>
        <v>0</v>
      </c>
    </row>
    <row r="871" customFormat="false" ht="15" hidden="false" customHeight="true" outlineLevel="0" collapsed="false">
      <c r="A871" s="1" t="s">
        <v>282</v>
      </c>
      <c r="B871" s="1" t="s">
        <v>1221</v>
      </c>
      <c r="C871" s="1" t="n">
        <v>69</v>
      </c>
      <c r="E871" s="1" t="s">
        <v>1279</v>
      </c>
      <c r="J871" s="1" t="s">
        <v>1279</v>
      </c>
      <c r="K871" s="1" t="n">
        <f aca="false">IF(Search!$D$5="",0,IF(AND(OR(Search!$N$5="",ISNUMBER(SEARCH(Search!$N$5,J871))),OR(Search!$N$6="",ISNUMBER(SEARCH(Search!$N$6,J871))),OR(Search!$N$7="",ISNUMBER(SEARCH(Search!$N$7,J871))),OR(Search!$N$8="",ISNUMBER(SEARCH(Search!$N$8,J871)))),1,0))</f>
        <v>0</v>
      </c>
      <c r="L871" s="1" t="n">
        <f aca="false">L870+K871</f>
        <v>0</v>
      </c>
    </row>
    <row r="872" customFormat="false" ht="16.5" hidden="false" customHeight="true" outlineLevel="0" collapsed="false">
      <c r="A872" s="1" t="s">
        <v>285</v>
      </c>
      <c r="B872" s="1" t="s">
        <v>1221</v>
      </c>
      <c r="C872" s="1" t="n">
        <v>2</v>
      </c>
      <c r="E872" s="1" t="s">
        <v>2514</v>
      </c>
      <c r="J872" s="1" t="s">
        <v>2514</v>
      </c>
      <c r="K872" s="1" t="n">
        <f aca="false">IF(Search!$D$5="",0,IF(AND(OR(Search!$N$5="",ISNUMBER(SEARCH(Search!$N$5,J872))),OR(Search!$N$6="",ISNUMBER(SEARCH(Search!$N$6,J872))),OR(Search!$N$7="",ISNUMBER(SEARCH(Search!$N$7,J872))),OR(Search!$N$8="",ISNUMBER(SEARCH(Search!$N$8,J872)))),1,0))</f>
        <v>0</v>
      </c>
      <c r="L872" s="1" t="n">
        <f aca="false">L871+K872</f>
        <v>0</v>
      </c>
    </row>
    <row r="873" customFormat="false" ht="15" hidden="false" customHeight="true" outlineLevel="0" collapsed="false">
      <c r="A873" s="1" t="s">
        <v>285</v>
      </c>
      <c r="B873" s="1" t="s">
        <v>1221</v>
      </c>
      <c r="C873" s="1" t="n">
        <v>3</v>
      </c>
      <c r="E873" s="1" t="s">
        <v>2515</v>
      </c>
      <c r="J873" s="1" t="s">
        <v>2515</v>
      </c>
      <c r="K873" s="1" t="n">
        <f aca="false">IF(Search!$D$5="",0,IF(AND(OR(Search!$N$5="",ISNUMBER(SEARCH(Search!$N$5,J873))),OR(Search!$N$6="",ISNUMBER(SEARCH(Search!$N$6,J873))),OR(Search!$N$7="",ISNUMBER(SEARCH(Search!$N$7,J873))),OR(Search!$N$8="",ISNUMBER(SEARCH(Search!$N$8,J873)))),1,0))</f>
        <v>0</v>
      </c>
      <c r="L873" s="1" t="n">
        <f aca="false">L872+K873</f>
        <v>0</v>
      </c>
    </row>
    <row r="874" customFormat="false" ht="15" hidden="false" customHeight="true" outlineLevel="0" collapsed="false">
      <c r="A874" s="1" t="s">
        <v>285</v>
      </c>
      <c r="B874" s="1" t="s">
        <v>1221</v>
      </c>
      <c r="C874" s="1" t="n">
        <v>5</v>
      </c>
      <c r="E874" s="1" t="s">
        <v>2516</v>
      </c>
      <c r="J874" s="1" t="s">
        <v>2516</v>
      </c>
      <c r="K874" s="1" t="n">
        <f aca="false">IF(Search!$D$5="",0,IF(AND(OR(Search!$N$5="",ISNUMBER(SEARCH(Search!$N$5,J874))),OR(Search!$N$6="",ISNUMBER(SEARCH(Search!$N$6,J874))),OR(Search!$N$7="",ISNUMBER(SEARCH(Search!$N$7,J874))),OR(Search!$N$8="",ISNUMBER(SEARCH(Search!$N$8,J874)))),1,0))</f>
        <v>0</v>
      </c>
      <c r="L874" s="1" t="n">
        <f aca="false">L873+K874</f>
        <v>0</v>
      </c>
    </row>
    <row r="875" customFormat="false" ht="15" hidden="false" customHeight="true" outlineLevel="0" collapsed="false">
      <c r="A875" s="1" t="s">
        <v>285</v>
      </c>
      <c r="B875" s="1" t="s">
        <v>1221</v>
      </c>
      <c r="C875" s="1" t="n">
        <v>6</v>
      </c>
      <c r="E875" s="1" t="s">
        <v>2517</v>
      </c>
      <c r="F875" s="1" t="s">
        <v>2195</v>
      </c>
      <c r="G875" s="1" t="s">
        <v>2196</v>
      </c>
      <c r="H875" s="1" t="s">
        <v>2197</v>
      </c>
      <c r="J875" s="1" t="s">
        <v>2518</v>
      </c>
      <c r="K875" s="1" t="n">
        <f aca="false">IF(Search!$D$5="",0,IF(AND(OR(Search!$N$5="",ISNUMBER(SEARCH(Search!$N$5,J875))),OR(Search!$N$6="",ISNUMBER(SEARCH(Search!$N$6,J875))),OR(Search!$N$7="",ISNUMBER(SEARCH(Search!$N$7,J875))),OR(Search!$N$8="",ISNUMBER(SEARCH(Search!$N$8,J875)))),1,0))</f>
        <v>0</v>
      </c>
      <c r="L875" s="1" t="n">
        <f aca="false">L874+K875</f>
        <v>0</v>
      </c>
    </row>
    <row r="876" customFormat="false" ht="15" hidden="false" customHeight="true" outlineLevel="0" collapsed="false">
      <c r="A876" s="1" t="s">
        <v>285</v>
      </c>
      <c r="B876" s="1" t="s">
        <v>1221</v>
      </c>
      <c r="C876" s="1" t="n">
        <v>7</v>
      </c>
      <c r="E876" s="1" t="s">
        <v>2519</v>
      </c>
      <c r="F876" s="1" t="s">
        <v>1862</v>
      </c>
      <c r="G876" s="1" t="s">
        <v>1385</v>
      </c>
      <c r="H876" s="1" t="s">
        <v>1386</v>
      </c>
      <c r="J876" s="1" t="s">
        <v>2520</v>
      </c>
      <c r="K876" s="1" t="n">
        <f aca="false">IF(Search!$D$5="",0,IF(AND(OR(Search!$N$5="",ISNUMBER(SEARCH(Search!$N$5,J876))),OR(Search!$N$6="",ISNUMBER(SEARCH(Search!$N$6,J876))),OR(Search!$N$7="",ISNUMBER(SEARCH(Search!$N$7,J876))),OR(Search!$N$8="",ISNUMBER(SEARCH(Search!$N$8,J876)))),1,0))</f>
        <v>0</v>
      </c>
      <c r="L876" s="1" t="n">
        <f aca="false">L875+K876</f>
        <v>0</v>
      </c>
    </row>
    <row r="877" customFormat="false" ht="15" hidden="false" customHeight="true" outlineLevel="0" collapsed="false">
      <c r="A877" s="1" t="s">
        <v>285</v>
      </c>
      <c r="B877" s="1" t="s">
        <v>1221</v>
      </c>
      <c r="C877" s="1" t="n">
        <v>8</v>
      </c>
      <c r="E877" s="1" t="s">
        <v>2519</v>
      </c>
      <c r="F877" s="1" t="s">
        <v>1409</v>
      </c>
      <c r="G877" s="1" t="s">
        <v>2521</v>
      </c>
      <c r="H877" s="1" t="s">
        <v>2019</v>
      </c>
      <c r="J877" s="1" t="s">
        <v>2522</v>
      </c>
      <c r="K877" s="1" t="n">
        <f aca="false">IF(Search!$D$5="",0,IF(AND(OR(Search!$N$5="",ISNUMBER(SEARCH(Search!$N$5,J877))),OR(Search!$N$6="",ISNUMBER(SEARCH(Search!$N$6,J877))),OR(Search!$N$7="",ISNUMBER(SEARCH(Search!$N$7,J877))),OR(Search!$N$8="",ISNUMBER(SEARCH(Search!$N$8,J877)))),1,0))</f>
        <v>0</v>
      </c>
      <c r="L877" s="1" t="n">
        <f aca="false">L876+K877</f>
        <v>0</v>
      </c>
    </row>
    <row r="878" customFormat="false" ht="15" hidden="false" customHeight="true" outlineLevel="0" collapsed="false">
      <c r="A878" s="1" t="s">
        <v>285</v>
      </c>
      <c r="B878" s="1" t="s">
        <v>1221</v>
      </c>
      <c r="C878" s="1" t="n">
        <v>9</v>
      </c>
      <c r="E878" s="1" t="s">
        <v>2519</v>
      </c>
      <c r="F878" s="1" t="s">
        <v>987</v>
      </c>
      <c r="G878" s="1" t="s">
        <v>1332</v>
      </c>
      <c r="H878" s="1" t="s">
        <v>1333</v>
      </c>
      <c r="J878" s="1" t="s">
        <v>2523</v>
      </c>
      <c r="K878" s="1" t="n">
        <f aca="false">IF(Search!$D$5="",0,IF(AND(OR(Search!$N$5="",ISNUMBER(SEARCH(Search!$N$5,J878))),OR(Search!$N$6="",ISNUMBER(SEARCH(Search!$N$6,J878))),OR(Search!$N$7="",ISNUMBER(SEARCH(Search!$N$7,J878))),OR(Search!$N$8="",ISNUMBER(SEARCH(Search!$N$8,J878)))),1,0))</f>
        <v>0</v>
      </c>
      <c r="L878" s="1" t="n">
        <f aca="false">L877+K878</f>
        <v>0</v>
      </c>
    </row>
    <row r="879" customFormat="false" ht="15" hidden="false" customHeight="true" outlineLevel="0" collapsed="false">
      <c r="A879" s="1" t="s">
        <v>285</v>
      </c>
      <c r="B879" s="1" t="s">
        <v>1221</v>
      </c>
      <c r="C879" s="1" t="n">
        <v>10</v>
      </c>
      <c r="E879" s="1" t="s">
        <v>2519</v>
      </c>
      <c r="F879" s="1" t="s">
        <v>2358</v>
      </c>
      <c r="G879" s="1" t="s">
        <v>2343</v>
      </c>
      <c r="H879" s="1" t="s">
        <v>2344</v>
      </c>
      <c r="J879" s="1" t="s">
        <v>2524</v>
      </c>
      <c r="K879" s="1" t="n">
        <f aca="false">IF(Search!$D$5="",0,IF(AND(OR(Search!$N$5="",ISNUMBER(SEARCH(Search!$N$5,J879))),OR(Search!$N$6="",ISNUMBER(SEARCH(Search!$N$6,J879))),OR(Search!$N$7="",ISNUMBER(SEARCH(Search!$N$7,J879))),OR(Search!$N$8="",ISNUMBER(SEARCH(Search!$N$8,J879)))),1,0))</f>
        <v>0</v>
      </c>
      <c r="L879" s="1" t="n">
        <f aca="false">L878+K879</f>
        <v>0</v>
      </c>
    </row>
    <row r="880" customFormat="false" ht="15" hidden="false" customHeight="true" outlineLevel="0" collapsed="false">
      <c r="A880" s="1" t="s">
        <v>285</v>
      </c>
      <c r="B880" s="1" t="s">
        <v>1221</v>
      </c>
      <c r="C880" s="1" t="n">
        <v>11</v>
      </c>
      <c r="E880" s="1" t="s">
        <v>2525</v>
      </c>
      <c r="F880" s="1" t="s">
        <v>1862</v>
      </c>
      <c r="G880" s="1" t="s">
        <v>2526</v>
      </c>
      <c r="H880" s="1" t="s">
        <v>2527</v>
      </c>
      <c r="J880" s="1" t="s">
        <v>2528</v>
      </c>
      <c r="K880" s="1" t="n">
        <f aca="false">IF(Search!$D$5="",0,IF(AND(OR(Search!$N$5="",ISNUMBER(SEARCH(Search!$N$5,J880))),OR(Search!$N$6="",ISNUMBER(SEARCH(Search!$N$6,J880))),OR(Search!$N$7="",ISNUMBER(SEARCH(Search!$N$7,J880))),OR(Search!$N$8="",ISNUMBER(SEARCH(Search!$N$8,J880)))),1,0))</f>
        <v>0</v>
      </c>
      <c r="L880" s="1" t="n">
        <f aca="false">L879+K880</f>
        <v>0</v>
      </c>
    </row>
    <row r="881" customFormat="false" ht="15" hidden="false" customHeight="true" outlineLevel="0" collapsed="false">
      <c r="A881" s="1" t="s">
        <v>285</v>
      </c>
      <c r="B881" s="1" t="s">
        <v>1221</v>
      </c>
      <c r="C881" s="1" t="n">
        <v>12</v>
      </c>
      <c r="E881" s="1" t="s">
        <v>2525</v>
      </c>
      <c r="F881" s="1" t="s">
        <v>1409</v>
      </c>
      <c r="G881" s="1" t="s">
        <v>2529</v>
      </c>
      <c r="H881" s="1" t="s">
        <v>2530</v>
      </c>
      <c r="J881" s="1" t="s">
        <v>2531</v>
      </c>
      <c r="K881" s="1" t="n">
        <f aca="false">IF(Search!$D$5="",0,IF(AND(OR(Search!$N$5="",ISNUMBER(SEARCH(Search!$N$5,J881))),OR(Search!$N$6="",ISNUMBER(SEARCH(Search!$N$6,J881))),OR(Search!$N$7="",ISNUMBER(SEARCH(Search!$N$7,J881))),OR(Search!$N$8="",ISNUMBER(SEARCH(Search!$N$8,J881)))),1,0))</f>
        <v>0</v>
      </c>
      <c r="L881" s="1" t="n">
        <f aca="false">L880+K881</f>
        <v>0</v>
      </c>
    </row>
    <row r="882" customFormat="false" ht="15" hidden="false" customHeight="true" outlineLevel="0" collapsed="false">
      <c r="A882" s="1" t="s">
        <v>285</v>
      </c>
      <c r="B882" s="1" t="s">
        <v>1221</v>
      </c>
      <c r="C882" s="1" t="n">
        <v>13</v>
      </c>
      <c r="E882" s="1" t="s">
        <v>2525</v>
      </c>
      <c r="F882" s="1" t="s">
        <v>987</v>
      </c>
      <c r="G882" s="1" t="s">
        <v>1475</v>
      </c>
      <c r="H882" s="1" t="s">
        <v>1476</v>
      </c>
      <c r="J882" s="1" t="s">
        <v>2532</v>
      </c>
      <c r="K882" s="1" t="n">
        <f aca="false">IF(Search!$D$5="",0,IF(AND(OR(Search!$N$5="",ISNUMBER(SEARCH(Search!$N$5,J882))),OR(Search!$N$6="",ISNUMBER(SEARCH(Search!$N$6,J882))),OR(Search!$N$7="",ISNUMBER(SEARCH(Search!$N$7,J882))),OR(Search!$N$8="",ISNUMBER(SEARCH(Search!$N$8,J882)))),1,0))</f>
        <v>0</v>
      </c>
      <c r="L882" s="1" t="n">
        <f aca="false">L881+K882</f>
        <v>0</v>
      </c>
    </row>
    <row r="883" customFormat="false" ht="15" hidden="false" customHeight="true" outlineLevel="0" collapsed="false">
      <c r="A883" s="1" t="s">
        <v>285</v>
      </c>
      <c r="B883" s="1" t="s">
        <v>1221</v>
      </c>
      <c r="C883" s="1" t="n">
        <v>14</v>
      </c>
      <c r="E883" s="1" t="s">
        <v>2525</v>
      </c>
      <c r="F883" s="1" t="s">
        <v>2358</v>
      </c>
      <c r="G883" s="1" t="s">
        <v>1812</v>
      </c>
      <c r="H883" s="1" t="s">
        <v>2061</v>
      </c>
      <c r="J883" s="1" t="s">
        <v>2533</v>
      </c>
      <c r="K883" s="1" t="n">
        <f aca="false">IF(Search!$D$5="",0,IF(AND(OR(Search!$N$5="",ISNUMBER(SEARCH(Search!$N$5,J883))),OR(Search!$N$6="",ISNUMBER(SEARCH(Search!$N$6,J883))),OR(Search!$N$7="",ISNUMBER(SEARCH(Search!$N$7,J883))),OR(Search!$N$8="",ISNUMBER(SEARCH(Search!$N$8,J883)))),1,0))</f>
        <v>0</v>
      </c>
      <c r="L883" s="1" t="n">
        <f aca="false">L882+K883</f>
        <v>0</v>
      </c>
    </row>
    <row r="884" customFormat="false" ht="15" hidden="false" customHeight="true" outlineLevel="0" collapsed="false">
      <c r="A884" s="1" t="s">
        <v>285</v>
      </c>
      <c r="B884" s="1" t="s">
        <v>1221</v>
      </c>
      <c r="C884" s="1" t="n">
        <v>15</v>
      </c>
      <c r="E884" s="1" t="s">
        <v>2534</v>
      </c>
      <c r="F884" s="1" t="s">
        <v>1862</v>
      </c>
      <c r="G884" s="1" t="s">
        <v>2535</v>
      </c>
      <c r="H884" s="1" t="s">
        <v>2536</v>
      </c>
      <c r="J884" s="1" t="s">
        <v>2537</v>
      </c>
      <c r="K884" s="1" t="n">
        <f aca="false">IF(Search!$D$5="",0,IF(AND(OR(Search!$N$5="",ISNUMBER(SEARCH(Search!$N$5,J884))),OR(Search!$N$6="",ISNUMBER(SEARCH(Search!$N$6,J884))),OR(Search!$N$7="",ISNUMBER(SEARCH(Search!$N$7,J884))),OR(Search!$N$8="",ISNUMBER(SEARCH(Search!$N$8,J884)))),1,0))</f>
        <v>0</v>
      </c>
      <c r="L884" s="1" t="n">
        <f aca="false">L883+K884</f>
        <v>0</v>
      </c>
    </row>
    <row r="885" customFormat="false" ht="15" hidden="false" customHeight="true" outlineLevel="0" collapsed="false">
      <c r="A885" s="1" t="s">
        <v>285</v>
      </c>
      <c r="B885" s="1" t="s">
        <v>1221</v>
      </c>
      <c r="C885" s="1" t="n">
        <v>16</v>
      </c>
      <c r="E885" s="1" t="s">
        <v>2534</v>
      </c>
      <c r="F885" s="1" t="s">
        <v>1409</v>
      </c>
      <c r="G885" s="1" t="s">
        <v>2538</v>
      </c>
      <c r="H885" s="1" t="s">
        <v>2539</v>
      </c>
      <c r="J885" s="1" t="s">
        <v>2540</v>
      </c>
      <c r="K885" s="1" t="n">
        <f aca="false">IF(Search!$D$5="",0,IF(AND(OR(Search!$N$5="",ISNUMBER(SEARCH(Search!$N$5,J885))),OR(Search!$N$6="",ISNUMBER(SEARCH(Search!$N$6,J885))),OR(Search!$N$7="",ISNUMBER(SEARCH(Search!$N$7,J885))),OR(Search!$N$8="",ISNUMBER(SEARCH(Search!$N$8,J885)))),1,0))</f>
        <v>0</v>
      </c>
      <c r="L885" s="1" t="n">
        <f aca="false">L884+K885</f>
        <v>0</v>
      </c>
    </row>
    <row r="886" customFormat="false" ht="15" hidden="false" customHeight="true" outlineLevel="0" collapsed="false">
      <c r="A886" s="1" t="s">
        <v>285</v>
      </c>
      <c r="B886" s="1" t="s">
        <v>1221</v>
      </c>
      <c r="C886" s="1" t="n">
        <v>17</v>
      </c>
      <c r="E886" s="1" t="s">
        <v>2534</v>
      </c>
      <c r="F886" s="1" t="s">
        <v>2358</v>
      </c>
      <c r="G886" s="1" t="s">
        <v>987</v>
      </c>
      <c r="H886" s="1" t="s">
        <v>524</v>
      </c>
      <c r="J886" s="1" t="s">
        <v>2541</v>
      </c>
      <c r="K886" s="1" t="n">
        <f aca="false">IF(Search!$D$5="",0,IF(AND(OR(Search!$N$5="",ISNUMBER(SEARCH(Search!$N$5,J886))),OR(Search!$N$6="",ISNUMBER(SEARCH(Search!$N$6,J886))),OR(Search!$N$7="",ISNUMBER(SEARCH(Search!$N$7,J886))),OR(Search!$N$8="",ISNUMBER(SEARCH(Search!$N$8,J886)))),1,0))</f>
        <v>0</v>
      </c>
      <c r="L886" s="1" t="n">
        <f aca="false">L885+K886</f>
        <v>0</v>
      </c>
    </row>
    <row r="887" customFormat="false" ht="15" hidden="false" customHeight="true" outlineLevel="0" collapsed="false">
      <c r="A887" s="1" t="s">
        <v>285</v>
      </c>
      <c r="B887" s="1" t="s">
        <v>1221</v>
      </c>
      <c r="C887" s="1" t="n">
        <v>18</v>
      </c>
      <c r="E887" s="1" t="s">
        <v>2542</v>
      </c>
      <c r="F887" s="1" t="s">
        <v>1862</v>
      </c>
      <c r="G887" s="1" t="s">
        <v>2543</v>
      </c>
      <c r="H887" s="1" t="s">
        <v>627</v>
      </c>
      <c r="J887" s="1" t="s">
        <v>2544</v>
      </c>
      <c r="K887" s="1" t="n">
        <f aca="false">IF(Search!$D$5="",0,IF(AND(OR(Search!$N$5="",ISNUMBER(SEARCH(Search!$N$5,J887))),OR(Search!$N$6="",ISNUMBER(SEARCH(Search!$N$6,J887))),OR(Search!$N$7="",ISNUMBER(SEARCH(Search!$N$7,J887))),OR(Search!$N$8="",ISNUMBER(SEARCH(Search!$N$8,J887)))),1,0))</f>
        <v>0</v>
      </c>
      <c r="L887" s="1" t="n">
        <f aca="false">L886+K887</f>
        <v>0</v>
      </c>
    </row>
    <row r="888" customFormat="false" ht="15" hidden="false" customHeight="true" outlineLevel="0" collapsed="false">
      <c r="A888" s="1" t="s">
        <v>285</v>
      </c>
      <c r="B888" s="1" t="s">
        <v>1221</v>
      </c>
      <c r="C888" s="1" t="n">
        <v>19</v>
      </c>
      <c r="E888" s="1" t="s">
        <v>2542</v>
      </c>
      <c r="F888" s="1" t="s">
        <v>1409</v>
      </c>
      <c r="G888" s="1" t="s">
        <v>2545</v>
      </c>
      <c r="H888" s="1" t="s">
        <v>2546</v>
      </c>
      <c r="J888" s="1" t="s">
        <v>2547</v>
      </c>
      <c r="K888" s="1" t="n">
        <f aca="false">IF(Search!$D$5="",0,IF(AND(OR(Search!$N$5="",ISNUMBER(SEARCH(Search!$N$5,J888))),OR(Search!$N$6="",ISNUMBER(SEARCH(Search!$N$6,J888))),OR(Search!$N$7="",ISNUMBER(SEARCH(Search!$N$7,J888))),OR(Search!$N$8="",ISNUMBER(SEARCH(Search!$N$8,J888)))),1,0))</f>
        <v>0</v>
      </c>
      <c r="L888" s="1" t="n">
        <f aca="false">L887+K888</f>
        <v>0</v>
      </c>
    </row>
    <row r="889" customFormat="false" ht="15" hidden="false" customHeight="true" outlineLevel="0" collapsed="false">
      <c r="A889" s="1" t="s">
        <v>285</v>
      </c>
      <c r="B889" s="1" t="s">
        <v>1221</v>
      </c>
      <c r="C889" s="1" t="n">
        <v>20</v>
      </c>
      <c r="E889" s="1" t="s">
        <v>2542</v>
      </c>
      <c r="F889" s="1" t="s">
        <v>987</v>
      </c>
      <c r="G889" s="1" t="s">
        <v>1442</v>
      </c>
      <c r="H889" s="1" t="s">
        <v>2548</v>
      </c>
      <c r="J889" s="1" t="s">
        <v>2549</v>
      </c>
      <c r="K889" s="1" t="n">
        <f aca="false">IF(Search!$D$5="",0,IF(AND(OR(Search!$N$5="",ISNUMBER(SEARCH(Search!$N$5,J889))),OR(Search!$N$6="",ISNUMBER(SEARCH(Search!$N$6,J889))),OR(Search!$N$7="",ISNUMBER(SEARCH(Search!$N$7,J889))),OR(Search!$N$8="",ISNUMBER(SEARCH(Search!$N$8,J889)))),1,0))</f>
        <v>0</v>
      </c>
      <c r="L889" s="1" t="n">
        <f aca="false">L888+K889</f>
        <v>0</v>
      </c>
    </row>
    <row r="890" customFormat="false" ht="15" hidden="false" customHeight="true" outlineLevel="0" collapsed="false">
      <c r="A890" s="1" t="s">
        <v>285</v>
      </c>
      <c r="B890" s="1" t="s">
        <v>1221</v>
      </c>
      <c r="C890" s="1" t="n">
        <v>21</v>
      </c>
      <c r="E890" s="1" t="s">
        <v>2542</v>
      </c>
      <c r="F890" s="1" t="s">
        <v>2358</v>
      </c>
      <c r="G890" s="1" t="s">
        <v>2550</v>
      </c>
      <c r="H890" s="1" t="s">
        <v>2551</v>
      </c>
      <c r="J890" s="1" t="s">
        <v>2552</v>
      </c>
      <c r="K890" s="1" t="n">
        <f aca="false">IF(Search!$D$5="",0,IF(AND(OR(Search!$N$5="",ISNUMBER(SEARCH(Search!$N$5,J890))),OR(Search!$N$6="",ISNUMBER(SEARCH(Search!$N$6,J890))),OR(Search!$N$7="",ISNUMBER(SEARCH(Search!$N$7,J890))),OR(Search!$N$8="",ISNUMBER(SEARCH(Search!$N$8,J890)))),1,0))</f>
        <v>0</v>
      </c>
      <c r="L890" s="1" t="n">
        <f aca="false">L889+K890</f>
        <v>0</v>
      </c>
    </row>
    <row r="891" customFormat="false" ht="15" hidden="false" customHeight="true" outlineLevel="0" collapsed="false">
      <c r="A891" s="1" t="s">
        <v>285</v>
      </c>
      <c r="B891" s="1" t="s">
        <v>1221</v>
      </c>
      <c r="C891" s="1" t="n">
        <v>22</v>
      </c>
      <c r="E891" s="1" t="s">
        <v>2553</v>
      </c>
      <c r="F891" s="1" t="s">
        <v>1862</v>
      </c>
      <c r="G891" s="1" t="s">
        <v>2554</v>
      </c>
      <c r="H891" s="1" t="s">
        <v>2555</v>
      </c>
      <c r="J891" s="1" t="s">
        <v>2556</v>
      </c>
      <c r="K891" s="1" t="n">
        <f aca="false">IF(Search!$D$5="",0,IF(AND(OR(Search!$N$5="",ISNUMBER(SEARCH(Search!$N$5,J891))),OR(Search!$N$6="",ISNUMBER(SEARCH(Search!$N$6,J891))),OR(Search!$N$7="",ISNUMBER(SEARCH(Search!$N$7,J891))),OR(Search!$N$8="",ISNUMBER(SEARCH(Search!$N$8,J891)))),1,0))</f>
        <v>0</v>
      </c>
      <c r="L891" s="1" t="n">
        <f aca="false">L890+K891</f>
        <v>0</v>
      </c>
    </row>
    <row r="892" customFormat="false" ht="15" hidden="false" customHeight="true" outlineLevel="0" collapsed="false">
      <c r="A892" s="1" t="s">
        <v>285</v>
      </c>
      <c r="B892" s="1" t="s">
        <v>1221</v>
      </c>
      <c r="C892" s="1" t="n">
        <v>23</v>
      </c>
      <c r="E892" s="1" t="s">
        <v>2553</v>
      </c>
      <c r="F892" s="1" t="s">
        <v>1409</v>
      </c>
      <c r="G892" s="1" t="s">
        <v>2557</v>
      </c>
      <c r="H892" s="1" t="s">
        <v>2558</v>
      </c>
      <c r="J892" s="1" t="s">
        <v>2559</v>
      </c>
      <c r="K892" s="1" t="n">
        <f aca="false">IF(Search!$D$5="",0,IF(AND(OR(Search!$N$5="",ISNUMBER(SEARCH(Search!$N$5,J892))),OR(Search!$N$6="",ISNUMBER(SEARCH(Search!$N$6,J892))),OR(Search!$N$7="",ISNUMBER(SEARCH(Search!$N$7,J892))),OR(Search!$N$8="",ISNUMBER(SEARCH(Search!$N$8,J892)))),1,0))</f>
        <v>0</v>
      </c>
      <c r="L892" s="1" t="n">
        <f aca="false">L891+K892</f>
        <v>0</v>
      </c>
    </row>
    <row r="893" customFormat="false" ht="15" hidden="false" customHeight="true" outlineLevel="0" collapsed="false">
      <c r="A893" s="1" t="s">
        <v>285</v>
      </c>
      <c r="B893" s="1" t="s">
        <v>1221</v>
      </c>
      <c r="C893" s="1" t="n">
        <v>24</v>
      </c>
      <c r="E893" s="1" t="s">
        <v>2553</v>
      </c>
      <c r="F893" s="1" t="s">
        <v>987</v>
      </c>
      <c r="G893" s="1" t="s">
        <v>2560</v>
      </c>
      <c r="H893" s="1" t="s">
        <v>2561</v>
      </c>
      <c r="J893" s="1" t="s">
        <v>2562</v>
      </c>
      <c r="K893" s="1" t="n">
        <f aca="false">IF(Search!$D$5="",0,IF(AND(OR(Search!$N$5="",ISNUMBER(SEARCH(Search!$N$5,J893))),OR(Search!$N$6="",ISNUMBER(SEARCH(Search!$N$6,J893))),OR(Search!$N$7="",ISNUMBER(SEARCH(Search!$N$7,J893))),OR(Search!$N$8="",ISNUMBER(SEARCH(Search!$N$8,J893)))),1,0))</f>
        <v>0</v>
      </c>
      <c r="L893" s="1" t="n">
        <f aca="false">L892+K893</f>
        <v>0</v>
      </c>
    </row>
    <row r="894" customFormat="false" ht="15" hidden="false" customHeight="true" outlineLevel="0" collapsed="false">
      <c r="A894" s="1" t="s">
        <v>285</v>
      </c>
      <c r="B894" s="1" t="s">
        <v>1221</v>
      </c>
      <c r="C894" s="1" t="n">
        <v>25</v>
      </c>
      <c r="E894" s="1" t="s">
        <v>2553</v>
      </c>
      <c r="F894" s="1" t="s">
        <v>2358</v>
      </c>
      <c r="G894" s="1" t="s">
        <v>2563</v>
      </c>
      <c r="H894" s="1" t="s">
        <v>2564</v>
      </c>
      <c r="J894" s="1" t="s">
        <v>2565</v>
      </c>
      <c r="K894" s="1" t="n">
        <f aca="false">IF(Search!$D$5="",0,IF(AND(OR(Search!$N$5="",ISNUMBER(SEARCH(Search!$N$5,J894))),OR(Search!$N$6="",ISNUMBER(SEARCH(Search!$N$6,J894))),OR(Search!$N$7="",ISNUMBER(SEARCH(Search!$N$7,J894))),OR(Search!$N$8="",ISNUMBER(SEARCH(Search!$N$8,J894)))),1,0))</f>
        <v>0</v>
      </c>
      <c r="L894" s="1" t="n">
        <f aca="false">L893+K894</f>
        <v>0</v>
      </c>
    </row>
    <row r="895" customFormat="false" ht="15" hidden="false" customHeight="true" outlineLevel="0" collapsed="false">
      <c r="A895" s="1" t="s">
        <v>285</v>
      </c>
      <c r="B895" s="1" t="s">
        <v>1221</v>
      </c>
      <c r="C895" s="1" t="n">
        <v>26</v>
      </c>
      <c r="E895" s="1" t="s">
        <v>2553</v>
      </c>
      <c r="F895" s="1" t="s">
        <v>1830</v>
      </c>
      <c r="G895" s="1" t="s">
        <v>2566</v>
      </c>
      <c r="H895" s="1" t="s">
        <v>2567</v>
      </c>
      <c r="J895" s="1" t="s">
        <v>2568</v>
      </c>
      <c r="K895" s="1" t="n">
        <f aca="false">IF(Search!$D$5="",0,IF(AND(OR(Search!$N$5="",ISNUMBER(SEARCH(Search!$N$5,J895))),OR(Search!$N$6="",ISNUMBER(SEARCH(Search!$N$6,J895))),OR(Search!$N$7="",ISNUMBER(SEARCH(Search!$N$7,J895))),OR(Search!$N$8="",ISNUMBER(SEARCH(Search!$N$8,J895)))),1,0))</f>
        <v>0</v>
      </c>
      <c r="L895" s="1" t="n">
        <f aca="false">L894+K895</f>
        <v>0</v>
      </c>
    </row>
    <row r="896" customFormat="false" ht="15" hidden="false" customHeight="true" outlineLevel="0" collapsed="false">
      <c r="A896" s="1" t="s">
        <v>285</v>
      </c>
      <c r="B896" s="1" t="s">
        <v>1221</v>
      </c>
      <c r="C896" s="1" t="n">
        <v>27</v>
      </c>
      <c r="E896" s="1" t="s">
        <v>2553</v>
      </c>
      <c r="F896" s="1" t="s">
        <v>2377</v>
      </c>
      <c r="G896" s="1" t="s">
        <v>2569</v>
      </c>
      <c r="H896" s="1" t="s">
        <v>2570</v>
      </c>
      <c r="J896" s="1" t="s">
        <v>2571</v>
      </c>
      <c r="K896" s="1" t="n">
        <f aca="false">IF(Search!$D$5="",0,IF(AND(OR(Search!$N$5="",ISNUMBER(SEARCH(Search!$N$5,J896))),OR(Search!$N$6="",ISNUMBER(SEARCH(Search!$N$6,J896))),OR(Search!$N$7="",ISNUMBER(SEARCH(Search!$N$7,J896))),OR(Search!$N$8="",ISNUMBER(SEARCH(Search!$N$8,J896)))),1,0))</f>
        <v>0</v>
      </c>
      <c r="L896" s="1" t="n">
        <f aca="false">L895+K896</f>
        <v>0</v>
      </c>
    </row>
    <row r="897" customFormat="false" ht="15" hidden="false" customHeight="true" outlineLevel="0" collapsed="false">
      <c r="A897" s="1" t="s">
        <v>285</v>
      </c>
      <c r="B897" s="1" t="s">
        <v>1221</v>
      </c>
      <c r="C897" s="1" t="n">
        <v>28</v>
      </c>
      <c r="E897" s="1" t="s">
        <v>2572</v>
      </c>
      <c r="F897" s="1" t="s">
        <v>1409</v>
      </c>
      <c r="G897" s="1" t="s">
        <v>2573</v>
      </c>
      <c r="H897" s="1" t="s">
        <v>2574</v>
      </c>
      <c r="J897" s="1" t="s">
        <v>2575</v>
      </c>
      <c r="K897" s="1" t="n">
        <f aca="false">IF(Search!$D$5="",0,IF(AND(OR(Search!$N$5="",ISNUMBER(SEARCH(Search!$N$5,J897))),OR(Search!$N$6="",ISNUMBER(SEARCH(Search!$N$6,J897))),OR(Search!$N$7="",ISNUMBER(SEARCH(Search!$N$7,J897))),OR(Search!$N$8="",ISNUMBER(SEARCH(Search!$N$8,J897)))),1,0))</f>
        <v>0</v>
      </c>
      <c r="L897" s="1" t="n">
        <f aca="false">L896+K897</f>
        <v>0</v>
      </c>
    </row>
    <row r="898" customFormat="false" ht="15" hidden="false" customHeight="true" outlineLevel="0" collapsed="false">
      <c r="A898" s="1" t="s">
        <v>285</v>
      </c>
      <c r="B898" s="1" t="s">
        <v>1221</v>
      </c>
      <c r="C898" s="1" t="n">
        <v>29</v>
      </c>
      <c r="E898" s="1" t="s">
        <v>2572</v>
      </c>
      <c r="F898" s="1" t="s">
        <v>987</v>
      </c>
      <c r="G898" s="1" t="s">
        <v>2576</v>
      </c>
      <c r="H898" s="1" t="s">
        <v>2577</v>
      </c>
      <c r="J898" s="1" t="s">
        <v>2578</v>
      </c>
      <c r="K898" s="1" t="n">
        <f aca="false">IF(Search!$D$5="",0,IF(AND(OR(Search!$N$5="",ISNUMBER(SEARCH(Search!$N$5,J898))),OR(Search!$N$6="",ISNUMBER(SEARCH(Search!$N$6,J898))),OR(Search!$N$7="",ISNUMBER(SEARCH(Search!$N$7,J898))),OR(Search!$N$8="",ISNUMBER(SEARCH(Search!$N$8,J898)))),1,0))</f>
        <v>0</v>
      </c>
      <c r="L898" s="1" t="n">
        <f aca="false">L897+K898</f>
        <v>0</v>
      </c>
    </row>
    <row r="899" customFormat="false" ht="15" hidden="false" customHeight="true" outlineLevel="0" collapsed="false">
      <c r="A899" s="1" t="s">
        <v>285</v>
      </c>
      <c r="B899" s="1" t="s">
        <v>1221</v>
      </c>
      <c r="C899" s="1" t="n">
        <v>30</v>
      </c>
      <c r="E899" s="1" t="s">
        <v>2572</v>
      </c>
      <c r="F899" s="1" t="s">
        <v>2358</v>
      </c>
      <c r="G899" s="1" t="s">
        <v>2579</v>
      </c>
      <c r="H899" s="1" t="s">
        <v>2580</v>
      </c>
      <c r="J899" s="1" t="s">
        <v>2581</v>
      </c>
      <c r="K899" s="1" t="n">
        <f aca="false">IF(Search!$D$5="",0,IF(AND(OR(Search!$N$5="",ISNUMBER(SEARCH(Search!$N$5,J899))),OR(Search!$N$6="",ISNUMBER(SEARCH(Search!$N$6,J899))),OR(Search!$N$7="",ISNUMBER(SEARCH(Search!$N$7,J899))),OR(Search!$N$8="",ISNUMBER(SEARCH(Search!$N$8,J899)))),1,0))</f>
        <v>0</v>
      </c>
      <c r="L899" s="1" t="n">
        <f aca="false">L898+K899</f>
        <v>0</v>
      </c>
    </row>
    <row r="900" customFormat="false" ht="15" hidden="false" customHeight="true" outlineLevel="0" collapsed="false">
      <c r="A900" s="1" t="s">
        <v>285</v>
      </c>
      <c r="B900" s="1" t="s">
        <v>1221</v>
      </c>
      <c r="C900" s="1" t="n">
        <v>31</v>
      </c>
      <c r="E900" s="1" t="s">
        <v>2572</v>
      </c>
      <c r="F900" s="1" t="s">
        <v>1830</v>
      </c>
      <c r="G900" s="1" t="s">
        <v>2582</v>
      </c>
      <c r="H900" s="1" t="s">
        <v>2583</v>
      </c>
      <c r="J900" s="1" t="s">
        <v>2584</v>
      </c>
      <c r="K900" s="1" t="n">
        <f aca="false">IF(Search!$D$5="",0,IF(AND(OR(Search!$N$5="",ISNUMBER(SEARCH(Search!$N$5,J900))),OR(Search!$N$6="",ISNUMBER(SEARCH(Search!$N$6,J900))),OR(Search!$N$7="",ISNUMBER(SEARCH(Search!$N$7,J900))),OR(Search!$N$8="",ISNUMBER(SEARCH(Search!$N$8,J900)))),1,0))</f>
        <v>0</v>
      </c>
      <c r="L900" s="1" t="n">
        <f aca="false">L899+K900</f>
        <v>0</v>
      </c>
    </row>
    <row r="901" customFormat="false" ht="15" hidden="false" customHeight="true" outlineLevel="0" collapsed="false">
      <c r="A901" s="1" t="s">
        <v>285</v>
      </c>
      <c r="B901" s="1" t="s">
        <v>1221</v>
      </c>
      <c r="C901" s="1" t="n">
        <v>32</v>
      </c>
      <c r="E901" s="1" t="s">
        <v>2572</v>
      </c>
      <c r="F901" s="1" t="s">
        <v>2377</v>
      </c>
      <c r="G901" s="1" t="s">
        <v>2585</v>
      </c>
      <c r="H901" s="1" t="s">
        <v>2586</v>
      </c>
      <c r="J901" s="1" t="s">
        <v>2587</v>
      </c>
      <c r="K901" s="1" t="n">
        <f aca="false">IF(Search!$D$5="",0,IF(AND(OR(Search!$N$5="",ISNUMBER(SEARCH(Search!$N$5,J901))),OR(Search!$N$6="",ISNUMBER(SEARCH(Search!$N$6,J901))),OR(Search!$N$7="",ISNUMBER(SEARCH(Search!$N$7,J901))),OR(Search!$N$8="",ISNUMBER(SEARCH(Search!$N$8,J901)))),1,0))</f>
        <v>0</v>
      </c>
      <c r="L901" s="1" t="n">
        <f aca="false">L900+K901</f>
        <v>0</v>
      </c>
    </row>
    <row r="902" customFormat="false" ht="15" hidden="false" customHeight="true" outlineLevel="0" collapsed="false">
      <c r="A902" s="1" t="s">
        <v>285</v>
      </c>
      <c r="B902" s="1" t="s">
        <v>1221</v>
      </c>
      <c r="C902" s="1" t="n">
        <v>33</v>
      </c>
      <c r="E902" s="1" t="s">
        <v>2588</v>
      </c>
      <c r="F902" s="1" t="s">
        <v>1409</v>
      </c>
      <c r="G902" s="1" t="s">
        <v>2589</v>
      </c>
      <c r="H902" s="1" t="s">
        <v>2590</v>
      </c>
      <c r="J902" s="1" t="s">
        <v>2591</v>
      </c>
      <c r="K902" s="1" t="n">
        <f aca="false">IF(Search!$D$5="",0,IF(AND(OR(Search!$N$5="",ISNUMBER(SEARCH(Search!$N$5,J902))),OR(Search!$N$6="",ISNUMBER(SEARCH(Search!$N$6,J902))),OR(Search!$N$7="",ISNUMBER(SEARCH(Search!$N$7,J902))),OR(Search!$N$8="",ISNUMBER(SEARCH(Search!$N$8,J902)))),1,0))</f>
        <v>0</v>
      </c>
      <c r="L902" s="1" t="n">
        <f aca="false">L901+K902</f>
        <v>0</v>
      </c>
    </row>
    <row r="903" customFormat="false" ht="15" hidden="false" customHeight="true" outlineLevel="0" collapsed="false">
      <c r="A903" s="1" t="s">
        <v>285</v>
      </c>
      <c r="B903" s="1" t="s">
        <v>1221</v>
      </c>
      <c r="C903" s="1" t="n">
        <v>34</v>
      </c>
      <c r="E903" s="1" t="s">
        <v>2588</v>
      </c>
      <c r="F903" s="1" t="s">
        <v>987</v>
      </c>
      <c r="G903" s="1" t="s">
        <v>1390</v>
      </c>
      <c r="H903" s="1" t="s">
        <v>1592</v>
      </c>
      <c r="J903" s="1" t="s">
        <v>2592</v>
      </c>
      <c r="K903" s="1" t="n">
        <f aca="false">IF(Search!$D$5="",0,IF(AND(OR(Search!$N$5="",ISNUMBER(SEARCH(Search!$N$5,J903))),OR(Search!$N$6="",ISNUMBER(SEARCH(Search!$N$6,J903))),OR(Search!$N$7="",ISNUMBER(SEARCH(Search!$N$7,J903))),OR(Search!$N$8="",ISNUMBER(SEARCH(Search!$N$8,J903)))),1,0))</f>
        <v>0</v>
      </c>
      <c r="L903" s="1" t="n">
        <f aca="false">L902+K903</f>
        <v>0</v>
      </c>
    </row>
    <row r="904" customFormat="false" ht="15" hidden="false" customHeight="true" outlineLevel="0" collapsed="false">
      <c r="A904" s="1" t="s">
        <v>285</v>
      </c>
      <c r="B904" s="1" t="s">
        <v>1221</v>
      </c>
      <c r="C904" s="1" t="n">
        <v>35</v>
      </c>
      <c r="E904" s="1" t="s">
        <v>2588</v>
      </c>
      <c r="F904" s="1" t="s">
        <v>2358</v>
      </c>
      <c r="G904" s="1" t="s">
        <v>2593</v>
      </c>
      <c r="H904" s="1" t="s">
        <v>2594</v>
      </c>
      <c r="J904" s="1" t="s">
        <v>2595</v>
      </c>
      <c r="K904" s="1" t="n">
        <f aca="false">IF(Search!$D$5="",0,IF(AND(OR(Search!$N$5="",ISNUMBER(SEARCH(Search!$N$5,J904))),OR(Search!$N$6="",ISNUMBER(SEARCH(Search!$N$6,J904))),OR(Search!$N$7="",ISNUMBER(SEARCH(Search!$N$7,J904))),OR(Search!$N$8="",ISNUMBER(SEARCH(Search!$N$8,J904)))),1,0))</f>
        <v>0</v>
      </c>
      <c r="L904" s="1" t="n">
        <f aca="false">L903+K904</f>
        <v>0</v>
      </c>
    </row>
    <row r="905" customFormat="false" ht="15" hidden="false" customHeight="true" outlineLevel="0" collapsed="false">
      <c r="A905" s="1" t="s">
        <v>285</v>
      </c>
      <c r="B905" s="1" t="s">
        <v>1221</v>
      </c>
      <c r="C905" s="1" t="n">
        <v>36</v>
      </c>
      <c r="E905" s="1" t="s">
        <v>2596</v>
      </c>
      <c r="F905" s="1" t="s">
        <v>1409</v>
      </c>
      <c r="G905" s="1" t="s">
        <v>2597</v>
      </c>
      <c r="H905" s="1" t="s">
        <v>2598</v>
      </c>
      <c r="J905" s="1" t="s">
        <v>2599</v>
      </c>
      <c r="K905" s="1" t="n">
        <f aca="false">IF(Search!$D$5="",0,IF(AND(OR(Search!$N$5="",ISNUMBER(SEARCH(Search!$N$5,J905))),OR(Search!$N$6="",ISNUMBER(SEARCH(Search!$N$6,J905))),OR(Search!$N$7="",ISNUMBER(SEARCH(Search!$N$7,J905))),OR(Search!$N$8="",ISNUMBER(SEARCH(Search!$N$8,J905)))),1,0))</f>
        <v>0</v>
      </c>
      <c r="L905" s="1" t="n">
        <f aca="false">L904+K905</f>
        <v>0</v>
      </c>
    </row>
    <row r="906" customFormat="false" ht="15" hidden="false" customHeight="true" outlineLevel="0" collapsed="false">
      <c r="A906" s="1" t="s">
        <v>285</v>
      </c>
      <c r="B906" s="1" t="s">
        <v>1221</v>
      </c>
      <c r="C906" s="1" t="n">
        <v>37</v>
      </c>
      <c r="E906" s="1" t="s">
        <v>2596</v>
      </c>
      <c r="F906" s="1" t="s">
        <v>987</v>
      </c>
      <c r="G906" s="1" t="s">
        <v>2600</v>
      </c>
      <c r="H906" s="1" t="s">
        <v>2601</v>
      </c>
      <c r="J906" s="1" t="s">
        <v>2602</v>
      </c>
      <c r="K906" s="1" t="n">
        <f aca="false">IF(Search!$D$5="",0,IF(AND(OR(Search!$N$5="",ISNUMBER(SEARCH(Search!$N$5,J906))),OR(Search!$N$6="",ISNUMBER(SEARCH(Search!$N$6,J906))),OR(Search!$N$7="",ISNUMBER(SEARCH(Search!$N$7,J906))),OR(Search!$N$8="",ISNUMBER(SEARCH(Search!$N$8,J906)))),1,0))</f>
        <v>0</v>
      </c>
      <c r="L906" s="1" t="n">
        <f aca="false">L905+K906</f>
        <v>0</v>
      </c>
    </row>
    <row r="907" customFormat="false" ht="15" hidden="false" customHeight="true" outlineLevel="0" collapsed="false">
      <c r="A907" s="1" t="s">
        <v>285</v>
      </c>
      <c r="B907" s="1" t="s">
        <v>1221</v>
      </c>
      <c r="C907" s="1" t="n">
        <v>38</v>
      </c>
      <c r="E907" s="1" t="s">
        <v>2596</v>
      </c>
      <c r="F907" s="1" t="s">
        <v>2358</v>
      </c>
      <c r="G907" s="1" t="s">
        <v>2603</v>
      </c>
      <c r="H907" s="1" t="s">
        <v>2604</v>
      </c>
      <c r="J907" s="1" t="s">
        <v>2605</v>
      </c>
      <c r="K907" s="1" t="n">
        <f aca="false">IF(Search!$D$5="",0,IF(AND(OR(Search!$N$5="",ISNUMBER(SEARCH(Search!$N$5,J907))),OR(Search!$N$6="",ISNUMBER(SEARCH(Search!$N$6,J907))),OR(Search!$N$7="",ISNUMBER(SEARCH(Search!$N$7,J907))),OR(Search!$N$8="",ISNUMBER(SEARCH(Search!$N$8,J907)))),1,0))</f>
        <v>0</v>
      </c>
      <c r="L907" s="1" t="n">
        <f aca="false">L906+K907</f>
        <v>0</v>
      </c>
    </row>
    <row r="908" customFormat="false" ht="15" hidden="false" customHeight="true" outlineLevel="0" collapsed="false">
      <c r="A908" s="1" t="s">
        <v>285</v>
      </c>
      <c r="B908" s="1" t="s">
        <v>1221</v>
      </c>
      <c r="C908" s="1" t="n">
        <v>39</v>
      </c>
      <c r="E908" s="1" t="s">
        <v>2606</v>
      </c>
      <c r="F908" s="1" t="s">
        <v>1409</v>
      </c>
      <c r="G908" s="1" t="s">
        <v>2607</v>
      </c>
      <c r="H908" s="1" t="s">
        <v>2608</v>
      </c>
      <c r="J908" s="1" t="s">
        <v>2609</v>
      </c>
      <c r="K908" s="1" t="n">
        <f aca="false">IF(Search!$D$5="",0,IF(AND(OR(Search!$N$5="",ISNUMBER(SEARCH(Search!$N$5,J908))),OR(Search!$N$6="",ISNUMBER(SEARCH(Search!$N$6,J908))),OR(Search!$N$7="",ISNUMBER(SEARCH(Search!$N$7,J908))),OR(Search!$N$8="",ISNUMBER(SEARCH(Search!$N$8,J908)))),1,0))</f>
        <v>0</v>
      </c>
      <c r="L908" s="1" t="n">
        <f aca="false">L907+K908</f>
        <v>0</v>
      </c>
    </row>
    <row r="909" customFormat="false" ht="15" hidden="false" customHeight="true" outlineLevel="0" collapsed="false">
      <c r="A909" s="1" t="s">
        <v>285</v>
      </c>
      <c r="B909" s="1" t="s">
        <v>1221</v>
      </c>
      <c r="C909" s="1" t="n">
        <v>40</v>
      </c>
      <c r="E909" s="1" t="s">
        <v>2606</v>
      </c>
      <c r="F909" s="1" t="s">
        <v>987</v>
      </c>
      <c r="G909" s="1" t="s">
        <v>2585</v>
      </c>
      <c r="H909" s="1" t="s">
        <v>2610</v>
      </c>
      <c r="J909" s="1" t="s">
        <v>2611</v>
      </c>
      <c r="K909" s="1" t="n">
        <f aca="false">IF(Search!$D$5="",0,IF(AND(OR(Search!$N$5="",ISNUMBER(SEARCH(Search!$N$5,J909))),OR(Search!$N$6="",ISNUMBER(SEARCH(Search!$N$6,J909))),OR(Search!$N$7="",ISNUMBER(SEARCH(Search!$N$7,J909))),OR(Search!$N$8="",ISNUMBER(SEARCH(Search!$N$8,J909)))),1,0))</f>
        <v>0</v>
      </c>
      <c r="L909" s="1" t="n">
        <f aca="false">L908+K909</f>
        <v>0</v>
      </c>
    </row>
    <row r="910" customFormat="false" ht="15" hidden="false" customHeight="true" outlineLevel="0" collapsed="false">
      <c r="A910" s="1" t="s">
        <v>285</v>
      </c>
      <c r="B910" s="1" t="s">
        <v>1221</v>
      </c>
      <c r="C910" s="1" t="n">
        <v>41</v>
      </c>
      <c r="E910" s="1" t="s">
        <v>2606</v>
      </c>
      <c r="F910" s="1" t="s">
        <v>2358</v>
      </c>
      <c r="G910" s="1" t="s">
        <v>2603</v>
      </c>
      <c r="H910" s="1" t="s">
        <v>2604</v>
      </c>
      <c r="J910" s="1" t="s">
        <v>2612</v>
      </c>
      <c r="K910" s="1" t="n">
        <f aca="false">IF(Search!$D$5="",0,IF(AND(OR(Search!$N$5="",ISNUMBER(SEARCH(Search!$N$5,J910))),OR(Search!$N$6="",ISNUMBER(SEARCH(Search!$N$6,J910))),OR(Search!$N$7="",ISNUMBER(SEARCH(Search!$N$7,J910))),OR(Search!$N$8="",ISNUMBER(SEARCH(Search!$N$8,J910)))),1,0))</f>
        <v>0</v>
      </c>
      <c r="L910" s="1" t="n">
        <f aca="false">L909+K910</f>
        <v>0</v>
      </c>
    </row>
    <row r="911" customFormat="false" ht="15" hidden="false" customHeight="true" outlineLevel="0" collapsed="false">
      <c r="A911" s="1" t="s">
        <v>285</v>
      </c>
      <c r="B911" s="1" t="s">
        <v>1221</v>
      </c>
      <c r="C911" s="1" t="n">
        <v>42</v>
      </c>
      <c r="E911" s="1" t="s">
        <v>2606</v>
      </c>
      <c r="F911" s="1" t="s">
        <v>1830</v>
      </c>
      <c r="G911" s="1" t="s">
        <v>2613</v>
      </c>
      <c r="H911" s="1" t="s">
        <v>2614</v>
      </c>
      <c r="J911" s="1" t="s">
        <v>2615</v>
      </c>
      <c r="K911" s="1" t="n">
        <f aca="false">IF(Search!$D$5="",0,IF(AND(OR(Search!$N$5="",ISNUMBER(SEARCH(Search!$N$5,J911))),OR(Search!$N$6="",ISNUMBER(SEARCH(Search!$N$6,J911))),OR(Search!$N$7="",ISNUMBER(SEARCH(Search!$N$7,J911))),OR(Search!$N$8="",ISNUMBER(SEARCH(Search!$N$8,J911)))),1,0))</f>
        <v>0</v>
      </c>
      <c r="L911" s="1" t="n">
        <f aca="false">L910+K911</f>
        <v>0</v>
      </c>
    </row>
    <row r="912" customFormat="false" ht="15" hidden="false" customHeight="true" outlineLevel="0" collapsed="false">
      <c r="A912" s="1" t="s">
        <v>285</v>
      </c>
      <c r="B912" s="1" t="s">
        <v>1221</v>
      </c>
      <c r="C912" s="1" t="n">
        <v>43</v>
      </c>
      <c r="E912" s="1" t="s">
        <v>2606</v>
      </c>
      <c r="F912" s="1" t="s">
        <v>2377</v>
      </c>
      <c r="G912" s="1" t="s">
        <v>2616</v>
      </c>
      <c r="H912" s="1" t="s">
        <v>2617</v>
      </c>
      <c r="J912" s="1" t="s">
        <v>2618</v>
      </c>
      <c r="K912" s="1" t="n">
        <f aca="false">IF(Search!$D$5="",0,IF(AND(OR(Search!$N$5="",ISNUMBER(SEARCH(Search!$N$5,J912))),OR(Search!$N$6="",ISNUMBER(SEARCH(Search!$N$6,J912))),OR(Search!$N$7="",ISNUMBER(SEARCH(Search!$N$7,J912))),OR(Search!$N$8="",ISNUMBER(SEARCH(Search!$N$8,J912)))),1,0))</f>
        <v>0</v>
      </c>
      <c r="L912" s="1" t="n">
        <f aca="false">L911+K912</f>
        <v>0</v>
      </c>
    </row>
    <row r="913" customFormat="false" ht="15" hidden="false" customHeight="true" outlineLevel="0" collapsed="false">
      <c r="A913" s="1" t="s">
        <v>285</v>
      </c>
      <c r="B913" s="1" t="s">
        <v>1221</v>
      </c>
      <c r="C913" s="1" t="n">
        <v>44</v>
      </c>
      <c r="E913" s="1" t="s">
        <v>2619</v>
      </c>
      <c r="F913" s="1" t="s">
        <v>1409</v>
      </c>
      <c r="G913" s="1" t="s">
        <v>1838</v>
      </c>
      <c r="H913" s="1" t="s">
        <v>2620</v>
      </c>
      <c r="J913" s="1" t="s">
        <v>2621</v>
      </c>
      <c r="K913" s="1" t="n">
        <f aca="false">IF(Search!$D$5="",0,IF(AND(OR(Search!$N$5="",ISNUMBER(SEARCH(Search!$N$5,J913))),OR(Search!$N$6="",ISNUMBER(SEARCH(Search!$N$6,J913))),OR(Search!$N$7="",ISNUMBER(SEARCH(Search!$N$7,J913))),OR(Search!$N$8="",ISNUMBER(SEARCH(Search!$N$8,J913)))),1,0))</f>
        <v>0</v>
      </c>
      <c r="L913" s="1" t="n">
        <f aca="false">L912+K913</f>
        <v>0</v>
      </c>
    </row>
    <row r="914" customFormat="false" ht="15" hidden="false" customHeight="true" outlineLevel="0" collapsed="false">
      <c r="A914" s="1" t="s">
        <v>285</v>
      </c>
      <c r="B914" s="1" t="s">
        <v>1221</v>
      </c>
      <c r="C914" s="1" t="n">
        <v>45</v>
      </c>
      <c r="E914" s="1" t="s">
        <v>2619</v>
      </c>
      <c r="F914" s="1" t="s">
        <v>987</v>
      </c>
      <c r="G914" s="1" t="s">
        <v>2622</v>
      </c>
      <c r="H914" s="1" t="s">
        <v>2623</v>
      </c>
      <c r="J914" s="1" t="s">
        <v>2624</v>
      </c>
      <c r="K914" s="1" t="n">
        <f aca="false">IF(Search!$D$5="",0,IF(AND(OR(Search!$N$5="",ISNUMBER(SEARCH(Search!$N$5,J914))),OR(Search!$N$6="",ISNUMBER(SEARCH(Search!$N$6,J914))),OR(Search!$N$7="",ISNUMBER(SEARCH(Search!$N$7,J914))),OR(Search!$N$8="",ISNUMBER(SEARCH(Search!$N$8,J914)))),1,0))</f>
        <v>0</v>
      </c>
      <c r="L914" s="1" t="n">
        <f aca="false">L913+K914</f>
        <v>0</v>
      </c>
    </row>
    <row r="915" customFormat="false" ht="15" hidden="false" customHeight="true" outlineLevel="0" collapsed="false">
      <c r="A915" s="1" t="s">
        <v>285</v>
      </c>
      <c r="B915" s="1" t="s">
        <v>1221</v>
      </c>
      <c r="C915" s="1" t="n">
        <v>46</v>
      </c>
      <c r="E915" s="1" t="s">
        <v>2619</v>
      </c>
      <c r="F915" s="1" t="s">
        <v>1830</v>
      </c>
      <c r="G915" s="1" t="s">
        <v>2032</v>
      </c>
      <c r="H915" s="1" t="s">
        <v>2033</v>
      </c>
      <c r="J915" s="1" t="s">
        <v>2625</v>
      </c>
      <c r="K915" s="1" t="n">
        <f aca="false">IF(Search!$D$5="",0,IF(AND(OR(Search!$N$5="",ISNUMBER(SEARCH(Search!$N$5,J915))),OR(Search!$N$6="",ISNUMBER(SEARCH(Search!$N$6,J915))),OR(Search!$N$7="",ISNUMBER(SEARCH(Search!$N$7,J915))),OR(Search!$N$8="",ISNUMBER(SEARCH(Search!$N$8,J915)))),1,0))</f>
        <v>0</v>
      </c>
      <c r="L915" s="1" t="n">
        <f aca="false">L914+K915</f>
        <v>0</v>
      </c>
    </row>
    <row r="916" customFormat="false" ht="15" hidden="false" customHeight="true" outlineLevel="0" collapsed="false">
      <c r="A916" s="1" t="s">
        <v>285</v>
      </c>
      <c r="B916" s="1" t="s">
        <v>1221</v>
      </c>
      <c r="C916" s="1" t="n">
        <v>47</v>
      </c>
      <c r="E916" s="1" t="s">
        <v>2626</v>
      </c>
      <c r="F916" s="1" t="s">
        <v>1409</v>
      </c>
      <c r="G916" s="1" t="s">
        <v>1825</v>
      </c>
      <c r="H916" s="1" t="s">
        <v>2627</v>
      </c>
      <c r="J916" s="1" t="s">
        <v>2628</v>
      </c>
      <c r="K916" s="1" t="n">
        <f aca="false">IF(Search!$D$5="",0,IF(AND(OR(Search!$N$5="",ISNUMBER(SEARCH(Search!$N$5,J916))),OR(Search!$N$6="",ISNUMBER(SEARCH(Search!$N$6,J916))),OR(Search!$N$7="",ISNUMBER(SEARCH(Search!$N$7,J916))),OR(Search!$N$8="",ISNUMBER(SEARCH(Search!$N$8,J916)))),1,0))</f>
        <v>0</v>
      </c>
      <c r="L916" s="1" t="n">
        <f aca="false">L915+K916</f>
        <v>0</v>
      </c>
    </row>
    <row r="917" customFormat="false" ht="15" hidden="false" customHeight="true" outlineLevel="0" collapsed="false">
      <c r="A917" s="1" t="s">
        <v>285</v>
      </c>
      <c r="B917" s="1" t="s">
        <v>1221</v>
      </c>
      <c r="C917" s="1" t="n">
        <v>48</v>
      </c>
      <c r="E917" s="1" t="s">
        <v>2626</v>
      </c>
      <c r="F917" s="1" t="s">
        <v>987</v>
      </c>
      <c r="G917" s="1" t="s">
        <v>2629</v>
      </c>
      <c r="H917" s="1" t="s">
        <v>2630</v>
      </c>
      <c r="J917" s="1" t="s">
        <v>2631</v>
      </c>
      <c r="K917" s="1" t="n">
        <f aca="false">IF(Search!$D$5="",0,IF(AND(OR(Search!$N$5="",ISNUMBER(SEARCH(Search!$N$5,J917))),OR(Search!$N$6="",ISNUMBER(SEARCH(Search!$N$6,J917))),OR(Search!$N$7="",ISNUMBER(SEARCH(Search!$N$7,J917))),OR(Search!$N$8="",ISNUMBER(SEARCH(Search!$N$8,J917)))),1,0))</f>
        <v>0</v>
      </c>
      <c r="L917" s="1" t="n">
        <f aca="false">L916+K917</f>
        <v>0</v>
      </c>
    </row>
    <row r="918" customFormat="false" ht="15" hidden="false" customHeight="true" outlineLevel="0" collapsed="false">
      <c r="A918" s="1" t="s">
        <v>285</v>
      </c>
      <c r="B918" s="1" t="s">
        <v>1221</v>
      </c>
      <c r="C918" s="1" t="n">
        <v>49</v>
      </c>
      <c r="E918" s="1" t="s">
        <v>2626</v>
      </c>
      <c r="F918" s="1" t="s">
        <v>1830</v>
      </c>
      <c r="G918" s="1" t="s">
        <v>2613</v>
      </c>
      <c r="H918" s="1" t="s">
        <v>2614</v>
      </c>
      <c r="J918" s="1" t="s">
        <v>2632</v>
      </c>
      <c r="K918" s="1" t="n">
        <f aca="false">IF(Search!$D$5="",0,IF(AND(OR(Search!$N$5="",ISNUMBER(SEARCH(Search!$N$5,J918))),OR(Search!$N$6="",ISNUMBER(SEARCH(Search!$N$6,J918))),OR(Search!$N$7="",ISNUMBER(SEARCH(Search!$N$7,J918))),OR(Search!$N$8="",ISNUMBER(SEARCH(Search!$N$8,J918)))),1,0))</f>
        <v>0</v>
      </c>
      <c r="L918" s="1" t="n">
        <f aca="false">L917+K918</f>
        <v>0</v>
      </c>
    </row>
    <row r="919" customFormat="false" ht="15" hidden="false" customHeight="true" outlineLevel="0" collapsed="false">
      <c r="A919" s="1" t="s">
        <v>285</v>
      </c>
      <c r="B919" s="1" t="s">
        <v>1221</v>
      </c>
      <c r="C919" s="1" t="n">
        <v>50</v>
      </c>
      <c r="E919" s="1" t="s">
        <v>2633</v>
      </c>
      <c r="F919" s="1" t="s">
        <v>1409</v>
      </c>
      <c r="G919" s="1" t="s">
        <v>2634</v>
      </c>
      <c r="H919" s="1" t="s">
        <v>2635</v>
      </c>
      <c r="J919" s="1" t="s">
        <v>2636</v>
      </c>
      <c r="K919" s="1" t="n">
        <f aca="false">IF(Search!$D$5="",0,IF(AND(OR(Search!$N$5="",ISNUMBER(SEARCH(Search!$N$5,J919))),OR(Search!$N$6="",ISNUMBER(SEARCH(Search!$N$6,J919))),OR(Search!$N$7="",ISNUMBER(SEARCH(Search!$N$7,J919))),OR(Search!$N$8="",ISNUMBER(SEARCH(Search!$N$8,J919)))),1,0))</f>
        <v>0</v>
      </c>
      <c r="L919" s="1" t="n">
        <f aca="false">L918+K919</f>
        <v>0</v>
      </c>
    </row>
    <row r="920" customFormat="false" ht="15" hidden="false" customHeight="true" outlineLevel="0" collapsed="false">
      <c r="A920" s="1" t="s">
        <v>285</v>
      </c>
      <c r="B920" s="1" t="s">
        <v>1221</v>
      </c>
      <c r="C920" s="1" t="n">
        <v>51</v>
      </c>
      <c r="E920" s="1" t="s">
        <v>2633</v>
      </c>
      <c r="F920" s="1" t="s">
        <v>987</v>
      </c>
      <c r="G920" s="1" t="s">
        <v>2637</v>
      </c>
      <c r="H920" s="1" t="s">
        <v>2638</v>
      </c>
      <c r="J920" s="1" t="s">
        <v>2639</v>
      </c>
      <c r="K920" s="1" t="n">
        <f aca="false">IF(Search!$D$5="",0,IF(AND(OR(Search!$N$5="",ISNUMBER(SEARCH(Search!$N$5,J920))),OR(Search!$N$6="",ISNUMBER(SEARCH(Search!$N$6,J920))),OR(Search!$N$7="",ISNUMBER(SEARCH(Search!$N$7,J920))),OR(Search!$N$8="",ISNUMBER(SEARCH(Search!$N$8,J920)))),1,0))</f>
        <v>0</v>
      </c>
      <c r="L920" s="1" t="n">
        <f aca="false">L919+K920</f>
        <v>0</v>
      </c>
    </row>
    <row r="921" customFormat="false" ht="15" hidden="false" customHeight="true" outlineLevel="0" collapsed="false">
      <c r="A921" s="1" t="s">
        <v>285</v>
      </c>
      <c r="B921" s="1" t="s">
        <v>1221</v>
      </c>
      <c r="C921" s="1" t="n">
        <v>52</v>
      </c>
      <c r="E921" s="1" t="s">
        <v>2633</v>
      </c>
      <c r="F921" s="1" t="s">
        <v>1830</v>
      </c>
      <c r="G921" s="1" t="s">
        <v>2431</v>
      </c>
      <c r="H921" s="1" t="s">
        <v>2432</v>
      </c>
      <c r="J921" s="1" t="s">
        <v>2640</v>
      </c>
      <c r="K921" s="1" t="n">
        <f aca="false">IF(Search!$D$5="",0,IF(AND(OR(Search!$N$5="",ISNUMBER(SEARCH(Search!$N$5,J921))),OR(Search!$N$6="",ISNUMBER(SEARCH(Search!$N$6,J921))),OR(Search!$N$7="",ISNUMBER(SEARCH(Search!$N$7,J921))),OR(Search!$N$8="",ISNUMBER(SEARCH(Search!$N$8,J921)))),1,0))</f>
        <v>0</v>
      </c>
      <c r="L921" s="1" t="n">
        <f aca="false">L920+K921</f>
        <v>0</v>
      </c>
    </row>
    <row r="922" customFormat="false" ht="15" hidden="false" customHeight="true" outlineLevel="0" collapsed="false">
      <c r="A922" s="1" t="s">
        <v>285</v>
      </c>
      <c r="B922" s="1" t="s">
        <v>1221</v>
      </c>
      <c r="C922" s="1" t="n">
        <v>53</v>
      </c>
      <c r="E922" s="1" t="s">
        <v>2641</v>
      </c>
      <c r="F922" s="1" t="s">
        <v>1409</v>
      </c>
      <c r="G922" s="1" t="s">
        <v>1329</v>
      </c>
      <c r="H922" s="1" t="s">
        <v>2642</v>
      </c>
      <c r="J922" s="1" t="s">
        <v>2643</v>
      </c>
      <c r="K922" s="1" t="n">
        <f aca="false">IF(Search!$D$5="",0,IF(AND(OR(Search!$N$5="",ISNUMBER(SEARCH(Search!$N$5,J922))),OR(Search!$N$6="",ISNUMBER(SEARCH(Search!$N$6,J922))),OR(Search!$N$7="",ISNUMBER(SEARCH(Search!$N$7,J922))),OR(Search!$N$8="",ISNUMBER(SEARCH(Search!$N$8,J922)))),1,0))</f>
        <v>0</v>
      </c>
      <c r="L922" s="1" t="n">
        <f aca="false">L921+K922</f>
        <v>0</v>
      </c>
    </row>
    <row r="923" customFormat="false" ht="15" hidden="false" customHeight="true" outlineLevel="0" collapsed="false">
      <c r="A923" s="1" t="s">
        <v>285</v>
      </c>
      <c r="B923" s="1" t="s">
        <v>1221</v>
      </c>
      <c r="C923" s="1" t="n">
        <v>54</v>
      </c>
      <c r="E923" s="1" t="s">
        <v>2641</v>
      </c>
      <c r="F923" s="1" t="s">
        <v>987</v>
      </c>
      <c r="G923" s="1" t="s">
        <v>1333</v>
      </c>
      <c r="H923" s="1" t="s">
        <v>2644</v>
      </c>
      <c r="J923" s="1" t="s">
        <v>2645</v>
      </c>
      <c r="K923" s="1" t="n">
        <f aca="false">IF(Search!$D$5="",0,IF(AND(OR(Search!$N$5="",ISNUMBER(SEARCH(Search!$N$5,J923))),OR(Search!$N$6="",ISNUMBER(SEARCH(Search!$N$6,J923))),OR(Search!$N$7="",ISNUMBER(SEARCH(Search!$N$7,J923))),OR(Search!$N$8="",ISNUMBER(SEARCH(Search!$N$8,J923)))),1,0))</f>
        <v>0</v>
      </c>
      <c r="L923" s="1" t="n">
        <f aca="false">L922+K923</f>
        <v>0</v>
      </c>
    </row>
    <row r="924" customFormat="false" ht="15" hidden="false" customHeight="true" outlineLevel="0" collapsed="false">
      <c r="A924" s="1" t="s">
        <v>285</v>
      </c>
      <c r="B924" s="1" t="s">
        <v>1221</v>
      </c>
      <c r="C924" s="1" t="n">
        <v>55</v>
      </c>
      <c r="E924" s="1" t="s">
        <v>2641</v>
      </c>
      <c r="F924" s="1" t="s">
        <v>2358</v>
      </c>
      <c r="G924" s="1" t="s">
        <v>2646</v>
      </c>
      <c r="H924" s="1" t="s">
        <v>2647</v>
      </c>
      <c r="J924" s="1" t="s">
        <v>2648</v>
      </c>
      <c r="K924" s="1" t="n">
        <f aca="false">IF(Search!$D$5="",0,IF(AND(OR(Search!$N$5="",ISNUMBER(SEARCH(Search!$N$5,J924))),OR(Search!$N$6="",ISNUMBER(SEARCH(Search!$N$6,J924))),OR(Search!$N$7="",ISNUMBER(SEARCH(Search!$N$7,J924))),OR(Search!$N$8="",ISNUMBER(SEARCH(Search!$N$8,J924)))),1,0))</f>
        <v>0</v>
      </c>
      <c r="L924" s="1" t="n">
        <f aca="false">L923+K924</f>
        <v>0</v>
      </c>
    </row>
    <row r="925" customFormat="false" ht="15" hidden="false" customHeight="true" outlineLevel="0" collapsed="false">
      <c r="A925" s="1" t="s">
        <v>285</v>
      </c>
      <c r="B925" s="1" t="s">
        <v>1221</v>
      </c>
      <c r="C925" s="1" t="n">
        <v>56</v>
      </c>
      <c r="E925" s="1" t="s">
        <v>2641</v>
      </c>
      <c r="F925" s="1" t="s">
        <v>1830</v>
      </c>
      <c r="G925" s="1" t="s">
        <v>2649</v>
      </c>
      <c r="H925" s="1" t="s">
        <v>2650</v>
      </c>
      <c r="J925" s="1" t="s">
        <v>2651</v>
      </c>
      <c r="K925" s="1" t="n">
        <f aca="false">IF(Search!$D$5="",0,IF(AND(OR(Search!$N$5="",ISNUMBER(SEARCH(Search!$N$5,J925))),OR(Search!$N$6="",ISNUMBER(SEARCH(Search!$N$6,J925))),OR(Search!$N$7="",ISNUMBER(SEARCH(Search!$N$7,J925))),OR(Search!$N$8="",ISNUMBER(SEARCH(Search!$N$8,J925)))),1,0))</f>
        <v>0</v>
      </c>
      <c r="L925" s="1" t="n">
        <f aca="false">L924+K925</f>
        <v>0</v>
      </c>
    </row>
    <row r="926" customFormat="false" ht="15" hidden="false" customHeight="true" outlineLevel="0" collapsed="false">
      <c r="A926" s="1" t="s">
        <v>285</v>
      </c>
      <c r="B926" s="1" t="s">
        <v>1221</v>
      </c>
      <c r="C926" s="1" t="n">
        <v>57</v>
      </c>
      <c r="E926" s="1" t="s">
        <v>2641</v>
      </c>
      <c r="F926" s="1" t="s">
        <v>2377</v>
      </c>
      <c r="G926" s="1" t="s">
        <v>1563</v>
      </c>
      <c r="H926" s="1" t="s">
        <v>2652</v>
      </c>
      <c r="J926" s="1" t="s">
        <v>2653</v>
      </c>
      <c r="K926" s="1" t="n">
        <f aca="false">IF(Search!$D$5="",0,IF(AND(OR(Search!$N$5="",ISNUMBER(SEARCH(Search!$N$5,J926))),OR(Search!$N$6="",ISNUMBER(SEARCH(Search!$N$6,J926))),OR(Search!$N$7="",ISNUMBER(SEARCH(Search!$N$7,J926))),OR(Search!$N$8="",ISNUMBER(SEARCH(Search!$N$8,J926)))),1,0))</f>
        <v>0</v>
      </c>
      <c r="L926" s="1" t="n">
        <f aca="false">L925+K926</f>
        <v>0</v>
      </c>
    </row>
    <row r="927" customFormat="false" ht="15" hidden="false" customHeight="true" outlineLevel="0" collapsed="false">
      <c r="A927" s="1" t="s">
        <v>285</v>
      </c>
      <c r="B927" s="1" t="s">
        <v>1221</v>
      </c>
      <c r="C927" s="1" t="n">
        <v>58</v>
      </c>
      <c r="E927" s="1" t="s">
        <v>2654</v>
      </c>
      <c r="F927" s="1" t="s">
        <v>1409</v>
      </c>
      <c r="G927" s="1" t="s">
        <v>1329</v>
      </c>
      <c r="H927" s="1" t="s">
        <v>2642</v>
      </c>
      <c r="J927" s="1" t="s">
        <v>2655</v>
      </c>
      <c r="K927" s="1" t="n">
        <f aca="false">IF(Search!$D$5="",0,IF(AND(OR(Search!$N$5="",ISNUMBER(SEARCH(Search!$N$5,J927))),OR(Search!$N$6="",ISNUMBER(SEARCH(Search!$N$6,J927))),OR(Search!$N$7="",ISNUMBER(SEARCH(Search!$N$7,J927))),OR(Search!$N$8="",ISNUMBER(SEARCH(Search!$N$8,J927)))),1,0))</f>
        <v>0</v>
      </c>
      <c r="L927" s="1" t="n">
        <f aca="false">L926+K927</f>
        <v>0</v>
      </c>
    </row>
    <row r="928" customFormat="false" ht="15" hidden="false" customHeight="true" outlineLevel="0" collapsed="false">
      <c r="A928" s="1" t="s">
        <v>285</v>
      </c>
      <c r="B928" s="1" t="s">
        <v>1221</v>
      </c>
      <c r="C928" s="1" t="n">
        <v>59</v>
      </c>
      <c r="E928" s="1" t="s">
        <v>2654</v>
      </c>
      <c r="F928" s="1" t="s">
        <v>987</v>
      </c>
      <c r="G928" s="1" t="s">
        <v>1333</v>
      </c>
      <c r="H928" s="1" t="s">
        <v>2644</v>
      </c>
      <c r="J928" s="1" t="s">
        <v>2656</v>
      </c>
      <c r="K928" s="1" t="n">
        <f aca="false">IF(Search!$D$5="",0,IF(AND(OR(Search!$N$5="",ISNUMBER(SEARCH(Search!$N$5,J928))),OR(Search!$N$6="",ISNUMBER(SEARCH(Search!$N$6,J928))),OR(Search!$N$7="",ISNUMBER(SEARCH(Search!$N$7,J928))),OR(Search!$N$8="",ISNUMBER(SEARCH(Search!$N$8,J928)))),1,0))</f>
        <v>0</v>
      </c>
      <c r="L928" s="1" t="n">
        <f aca="false">L927+K928</f>
        <v>0</v>
      </c>
    </row>
    <row r="929" customFormat="false" ht="15" hidden="false" customHeight="true" outlineLevel="0" collapsed="false">
      <c r="A929" s="1" t="s">
        <v>285</v>
      </c>
      <c r="B929" s="1" t="s">
        <v>1221</v>
      </c>
      <c r="C929" s="1" t="n">
        <v>60</v>
      </c>
      <c r="E929" s="1" t="s">
        <v>2654</v>
      </c>
      <c r="F929" s="1" t="s">
        <v>2358</v>
      </c>
      <c r="G929" s="1" t="s">
        <v>2613</v>
      </c>
      <c r="H929" s="1" t="s">
        <v>2614</v>
      </c>
      <c r="J929" s="1" t="s">
        <v>2657</v>
      </c>
      <c r="K929" s="1" t="n">
        <f aca="false">IF(Search!$D$5="",0,IF(AND(OR(Search!$N$5="",ISNUMBER(SEARCH(Search!$N$5,J929))),OR(Search!$N$6="",ISNUMBER(SEARCH(Search!$N$6,J929))),OR(Search!$N$7="",ISNUMBER(SEARCH(Search!$N$7,J929))),OR(Search!$N$8="",ISNUMBER(SEARCH(Search!$N$8,J929)))),1,0))</f>
        <v>0</v>
      </c>
      <c r="L929" s="1" t="n">
        <f aca="false">L928+K929</f>
        <v>0</v>
      </c>
    </row>
    <row r="930" customFormat="false" ht="15" hidden="false" customHeight="true" outlineLevel="0" collapsed="false">
      <c r="A930" s="1" t="s">
        <v>285</v>
      </c>
      <c r="B930" s="1" t="s">
        <v>1221</v>
      </c>
      <c r="C930" s="1" t="n">
        <v>61</v>
      </c>
      <c r="E930" s="1" t="s">
        <v>2654</v>
      </c>
      <c r="F930" s="1" t="s">
        <v>1830</v>
      </c>
      <c r="G930" s="1" t="s">
        <v>2658</v>
      </c>
      <c r="H930" s="1" t="s">
        <v>2659</v>
      </c>
      <c r="J930" s="1" t="s">
        <v>2660</v>
      </c>
      <c r="K930" s="1" t="n">
        <f aca="false">IF(Search!$D$5="",0,IF(AND(OR(Search!$N$5="",ISNUMBER(SEARCH(Search!$N$5,J930))),OR(Search!$N$6="",ISNUMBER(SEARCH(Search!$N$6,J930))),OR(Search!$N$7="",ISNUMBER(SEARCH(Search!$N$7,J930))),OR(Search!$N$8="",ISNUMBER(SEARCH(Search!$N$8,J930)))),1,0))</f>
        <v>0</v>
      </c>
      <c r="L930" s="1" t="n">
        <f aca="false">L929+K930</f>
        <v>0</v>
      </c>
    </row>
    <row r="931" customFormat="false" ht="15" hidden="false" customHeight="true" outlineLevel="0" collapsed="false">
      <c r="A931" s="1" t="s">
        <v>285</v>
      </c>
      <c r="B931" s="1" t="s">
        <v>1221</v>
      </c>
      <c r="C931" s="1" t="n">
        <v>62</v>
      </c>
      <c r="E931" s="1" t="s">
        <v>2654</v>
      </c>
      <c r="F931" s="1" t="s">
        <v>2377</v>
      </c>
      <c r="G931" s="1" t="s">
        <v>2661</v>
      </c>
      <c r="H931" s="1" t="s">
        <v>2662</v>
      </c>
      <c r="J931" s="1" t="s">
        <v>2663</v>
      </c>
      <c r="K931" s="1" t="n">
        <f aca="false">IF(Search!$D$5="",0,IF(AND(OR(Search!$N$5="",ISNUMBER(SEARCH(Search!$N$5,J931))),OR(Search!$N$6="",ISNUMBER(SEARCH(Search!$N$6,J931))),OR(Search!$N$7="",ISNUMBER(SEARCH(Search!$N$7,J931))),OR(Search!$N$8="",ISNUMBER(SEARCH(Search!$N$8,J931)))),1,0))</f>
        <v>0</v>
      </c>
      <c r="L931" s="1" t="n">
        <f aca="false">L930+K931</f>
        <v>0</v>
      </c>
    </row>
    <row r="932" customFormat="false" ht="15" hidden="false" customHeight="true" outlineLevel="0" collapsed="false">
      <c r="A932" s="1" t="s">
        <v>285</v>
      </c>
      <c r="B932" s="1" t="s">
        <v>1221</v>
      </c>
      <c r="C932" s="1" t="n">
        <v>63</v>
      </c>
      <c r="E932" s="1" t="s">
        <v>2588</v>
      </c>
      <c r="F932" s="1" t="s">
        <v>1830</v>
      </c>
      <c r="G932" s="1" t="s">
        <v>2664</v>
      </c>
      <c r="H932" s="1" t="s">
        <v>2665</v>
      </c>
      <c r="J932" s="1" t="s">
        <v>2666</v>
      </c>
      <c r="K932" s="1" t="n">
        <f aca="false">IF(Search!$D$5="",0,IF(AND(OR(Search!$N$5="",ISNUMBER(SEARCH(Search!$N$5,J932))),OR(Search!$N$6="",ISNUMBER(SEARCH(Search!$N$6,J932))),OR(Search!$N$7="",ISNUMBER(SEARCH(Search!$N$7,J932))),OR(Search!$N$8="",ISNUMBER(SEARCH(Search!$N$8,J932)))),1,0))</f>
        <v>0</v>
      </c>
      <c r="L932" s="1" t="n">
        <f aca="false">L931+K932</f>
        <v>0</v>
      </c>
    </row>
    <row r="933" customFormat="false" ht="15" hidden="false" customHeight="true" outlineLevel="0" collapsed="false">
      <c r="A933" s="1" t="s">
        <v>285</v>
      </c>
      <c r="B933" s="1" t="s">
        <v>1221</v>
      </c>
      <c r="C933" s="1" t="n">
        <v>64</v>
      </c>
      <c r="E933" s="1" t="s">
        <v>2588</v>
      </c>
      <c r="F933" s="1" t="s">
        <v>2377</v>
      </c>
      <c r="G933" s="1" t="s">
        <v>2667</v>
      </c>
      <c r="H933" s="1" t="s">
        <v>2668</v>
      </c>
      <c r="J933" s="1" t="s">
        <v>2669</v>
      </c>
      <c r="K933" s="1" t="n">
        <f aca="false">IF(Search!$D$5="",0,IF(AND(OR(Search!$N$5="",ISNUMBER(SEARCH(Search!$N$5,J933))),OR(Search!$N$6="",ISNUMBER(SEARCH(Search!$N$6,J933))),OR(Search!$N$7="",ISNUMBER(SEARCH(Search!$N$7,J933))),OR(Search!$N$8="",ISNUMBER(SEARCH(Search!$N$8,J933)))),1,0))</f>
        <v>0</v>
      </c>
      <c r="L933" s="1" t="n">
        <f aca="false">L932+K933</f>
        <v>0</v>
      </c>
    </row>
    <row r="934" customFormat="false" ht="15" hidden="false" customHeight="true" outlineLevel="0" collapsed="false">
      <c r="A934" s="1" t="s">
        <v>285</v>
      </c>
      <c r="B934" s="1" t="s">
        <v>1221</v>
      </c>
      <c r="C934" s="1" t="n">
        <v>67</v>
      </c>
      <c r="E934" s="1" t="s">
        <v>2513</v>
      </c>
      <c r="J934" s="1" t="s">
        <v>2513</v>
      </c>
      <c r="K934" s="1" t="n">
        <f aca="false">IF(Search!$D$5="",0,IF(AND(OR(Search!$N$5="",ISNUMBER(SEARCH(Search!$N$5,J934))),OR(Search!$N$6="",ISNUMBER(SEARCH(Search!$N$6,J934))),OR(Search!$N$7="",ISNUMBER(SEARCH(Search!$N$7,J934))),OR(Search!$N$8="",ISNUMBER(SEARCH(Search!$N$8,J934)))),1,0))</f>
        <v>0</v>
      </c>
      <c r="L934" s="1" t="n">
        <f aca="false">L933+K934</f>
        <v>0</v>
      </c>
    </row>
    <row r="935" customFormat="false" ht="15" hidden="false" customHeight="true" outlineLevel="0" collapsed="false">
      <c r="A935" s="1" t="s">
        <v>285</v>
      </c>
      <c r="B935" s="1" t="s">
        <v>1221</v>
      </c>
      <c r="C935" s="1" t="n">
        <v>68</v>
      </c>
      <c r="E935" s="1" t="s">
        <v>1279</v>
      </c>
      <c r="J935" s="1" t="s">
        <v>1279</v>
      </c>
      <c r="K935" s="1" t="n">
        <f aca="false">IF(Search!$D$5="",0,IF(AND(OR(Search!$N$5="",ISNUMBER(SEARCH(Search!$N$5,J935))),OR(Search!$N$6="",ISNUMBER(SEARCH(Search!$N$6,J935))),OR(Search!$N$7="",ISNUMBER(SEARCH(Search!$N$7,J935))),OR(Search!$N$8="",ISNUMBER(SEARCH(Search!$N$8,J935)))),1,0))</f>
        <v>0</v>
      </c>
      <c r="L935" s="1" t="n">
        <f aca="false">L934+K935</f>
        <v>0</v>
      </c>
    </row>
    <row r="936" customFormat="false" ht="16.5" hidden="false" customHeight="true" outlineLevel="0" collapsed="false">
      <c r="A936" s="1" t="s">
        <v>288</v>
      </c>
      <c r="B936" s="1" t="s">
        <v>1221</v>
      </c>
      <c r="C936" s="1" t="n">
        <v>2</v>
      </c>
      <c r="E936" s="1" t="s">
        <v>2670</v>
      </c>
      <c r="J936" s="1" t="s">
        <v>2670</v>
      </c>
      <c r="K936" s="1" t="n">
        <f aca="false">IF(Search!$D$5="",0,IF(AND(OR(Search!$N$5="",ISNUMBER(SEARCH(Search!$N$5,J936))),OR(Search!$N$6="",ISNUMBER(SEARCH(Search!$N$6,J936))),OR(Search!$N$7="",ISNUMBER(SEARCH(Search!$N$7,J936))),OR(Search!$N$8="",ISNUMBER(SEARCH(Search!$N$8,J936)))),1,0))</f>
        <v>0</v>
      </c>
      <c r="L936" s="1" t="n">
        <f aca="false">L935+K936</f>
        <v>0</v>
      </c>
    </row>
    <row r="937" customFormat="false" ht="15" hidden="false" customHeight="true" outlineLevel="0" collapsed="false">
      <c r="A937" s="1" t="s">
        <v>288</v>
      </c>
      <c r="B937" s="1" t="s">
        <v>1221</v>
      </c>
      <c r="C937" s="1" t="n">
        <v>3</v>
      </c>
      <c r="E937" s="1" t="s">
        <v>2671</v>
      </c>
      <c r="J937" s="1" t="s">
        <v>2671</v>
      </c>
      <c r="K937" s="1" t="n">
        <f aca="false">IF(Search!$D$5="",0,IF(AND(OR(Search!$N$5="",ISNUMBER(SEARCH(Search!$N$5,J937))),OR(Search!$N$6="",ISNUMBER(SEARCH(Search!$N$6,J937))),OR(Search!$N$7="",ISNUMBER(SEARCH(Search!$N$7,J937))),OR(Search!$N$8="",ISNUMBER(SEARCH(Search!$N$8,J937)))),1,0))</f>
        <v>0</v>
      </c>
      <c r="L937" s="1" t="n">
        <f aca="false">L936+K937</f>
        <v>0</v>
      </c>
    </row>
    <row r="938" customFormat="false" ht="15" hidden="false" customHeight="true" outlineLevel="0" collapsed="false">
      <c r="A938" s="1" t="s">
        <v>288</v>
      </c>
      <c r="B938" s="1" t="s">
        <v>1221</v>
      </c>
      <c r="C938" s="1" t="n">
        <v>5</v>
      </c>
      <c r="E938" s="1" t="s">
        <v>2672</v>
      </c>
      <c r="J938" s="1" t="s">
        <v>2672</v>
      </c>
      <c r="K938" s="1" t="n">
        <f aca="false">IF(Search!$D$5="",0,IF(AND(OR(Search!$N$5="",ISNUMBER(SEARCH(Search!$N$5,J938))),OR(Search!$N$6="",ISNUMBER(SEARCH(Search!$N$6,J938))),OR(Search!$N$7="",ISNUMBER(SEARCH(Search!$N$7,J938))),OR(Search!$N$8="",ISNUMBER(SEARCH(Search!$N$8,J938)))),1,0))</f>
        <v>0</v>
      </c>
      <c r="L938" s="1" t="n">
        <f aca="false">L937+K938</f>
        <v>0</v>
      </c>
    </row>
    <row r="939" customFormat="false" ht="81.75" hidden="false" customHeight="true" outlineLevel="0" collapsed="false">
      <c r="A939" s="1" t="s">
        <v>288</v>
      </c>
      <c r="B939" s="1" t="s">
        <v>1221</v>
      </c>
      <c r="C939" s="1" t="n">
        <v>6</v>
      </c>
      <c r="E939" s="46" t="s">
        <v>2673</v>
      </c>
      <c r="F939" s="46" t="s">
        <v>2674</v>
      </c>
      <c r="G939" s="46" t="s">
        <v>2675</v>
      </c>
      <c r="H939" s="46" t="s">
        <v>2676</v>
      </c>
      <c r="I939" s="46" t="s">
        <v>2677</v>
      </c>
      <c r="J939" s="46" t="s">
        <v>2678</v>
      </c>
      <c r="K939" s="1" t="n">
        <f aca="false">IF(Search!$D$5="",0,IF(AND(OR(Search!$N$5="",ISNUMBER(SEARCH(Search!$N$5,J939))),OR(Search!$N$6="",ISNUMBER(SEARCH(Search!$N$6,J939))),OR(Search!$N$7="",ISNUMBER(SEARCH(Search!$N$7,J939))),OR(Search!$N$8="",ISNUMBER(SEARCH(Search!$N$8,J939)))),1,0))</f>
        <v>0</v>
      </c>
      <c r="L939" s="1" t="n">
        <f aca="false">L938+K939</f>
        <v>0</v>
      </c>
    </row>
    <row r="940" customFormat="false" ht="15" hidden="false" customHeight="true" outlineLevel="0" collapsed="false">
      <c r="A940" s="1" t="s">
        <v>288</v>
      </c>
      <c r="B940" s="1" t="s">
        <v>1221</v>
      </c>
      <c r="C940" s="1" t="n">
        <v>7</v>
      </c>
      <c r="E940" s="1" t="s">
        <v>2061</v>
      </c>
      <c r="F940" s="1" t="s">
        <v>2679</v>
      </c>
      <c r="G940" s="1" t="s">
        <v>2680</v>
      </c>
      <c r="H940" s="1" t="s">
        <v>2681</v>
      </c>
      <c r="I940" s="1" t="s">
        <v>2682</v>
      </c>
      <c r="J940" s="1" t="s">
        <v>2683</v>
      </c>
      <c r="K940" s="1" t="n">
        <f aca="false">IF(Search!$D$5="",0,IF(AND(OR(Search!$N$5="",ISNUMBER(SEARCH(Search!$N$5,J940))),OR(Search!$N$6="",ISNUMBER(SEARCH(Search!$N$6,J940))),OR(Search!$N$7="",ISNUMBER(SEARCH(Search!$N$7,J940))),OR(Search!$N$8="",ISNUMBER(SEARCH(Search!$N$8,J940)))),1,0))</f>
        <v>0</v>
      </c>
      <c r="L940" s="1" t="n">
        <f aca="false">L939+K940</f>
        <v>0</v>
      </c>
    </row>
    <row r="941" customFormat="false" ht="15" hidden="false" customHeight="true" outlineLevel="0" collapsed="false">
      <c r="A941" s="1" t="s">
        <v>288</v>
      </c>
      <c r="B941" s="1" t="s">
        <v>1221</v>
      </c>
      <c r="C941" s="1" t="n">
        <v>8</v>
      </c>
      <c r="E941" s="1" t="s">
        <v>587</v>
      </c>
      <c r="F941" s="1" t="s">
        <v>2684</v>
      </c>
      <c r="G941" s="1" t="s">
        <v>2685</v>
      </c>
      <c r="H941" s="1" t="s">
        <v>2686</v>
      </c>
      <c r="I941" s="1" t="s">
        <v>2682</v>
      </c>
      <c r="J941" s="1" t="s">
        <v>2687</v>
      </c>
      <c r="K941" s="1" t="n">
        <f aca="false">IF(Search!$D$5="",0,IF(AND(OR(Search!$N$5="",ISNUMBER(SEARCH(Search!$N$5,J941))),OR(Search!$N$6="",ISNUMBER(SEARCH(Search!$N$6,J941))),OR(Search!$N$7="",ISNUMBER(SEARCH(Search!$N$7,J941))),OR(Search!$N$8="",ISNUMBER(SEARCH(Search!$N$8,J941)))),1,0))</f>
        <v>0</v>
      </c>
      <c r="L941" s="1" t="n">
        <f aca="false">L940+K941</f>
        <v>0</v>
      </c>
    </row>
    <row r="942" customFormat="false" ht="15" hidden="false" customHeight="true" outlineLevel="0" collapsed="false">
      <c r="A942" s="1" t="s">
        <v>288</v>
      </c>
      <c r="B942" s="1" t="s">
        <v>1221</v>
      </c>
      <c r="C942" s="1" t="n">
        <v>9</v>
      </c>
      <c r="E942" s="1" t="s">
        <v>2168</v>
      </c>
      <c r="F942" s="1" t="s">
        <v>1045</v>
      </c>
      <c r="G942" s="1" t="s">
        <v>2688</v>
      </c>
      <c r="H942" s="1" t="s">
        <v>2689</v>
      </c>
      <c r="I942" s="1" t="s">
        <v>2358</v>
      </c>
      <c r="J942" s="1" t="s">
        <v>2690</v>
      </c>
      <c r="K942" s="1" t="n">
        <f aca="false">IF(Search!$D$5="",0,IF(AND(OR(Search!$N$5="",ISNUMBER(SEARCH(Search!$N$5,J942))),OR(Search!$N$6="",ISNUMBER(SEARCH(Search!$N$6,J942))),OR(Search!$N$7="",ISNUMBER(SEARCH(Search!$N$7,J942))),OR(Search!$N$8="",ISNUMBER(SEARCH(Search!$N$8,J942)))),1,0))</f>
        <v>0</v>
      </c>
      <c r="L942" s="1" t="n">
        <f aca="false">L941+K942</f>
        <v>0</v>
      </c>
    </row>
    <row r="943" customFormat="false" ht="15" hidden="false" customHeight="true" outlineLevel="0" collapsed="false">
      <c r="A943" s="1" t="s">
        <v>288</v>
      </c>
      <c r="B943" s="1" t="s">
        <v>1221</v>
      </c>
      <c r="C943" s="1" t="n">
        <v>10</v>
      </c>
      <c r="E943" s="1" t="s">
        <v>982</v>
      </c>
      <c r="F943" s="1" t="s">
        <v>2691</v>
      </c>
      <c r="G943" s="1" t="s">
        <v>2692</v>
      </c>
      <c r="H943" s="1" t="s">
        <v>2693</v>
      </c>
      <c r="I943" s="1" t="s">
        <v>1876</v>
      </c>
      <c r="J943" s="1" t="s">
        <v>2694</v>
      </c>
      <c r="K943" s="1" t="n">
        <f aca="false">IF(Search!$D$5="",0,IF(AND(OR(Search!$N$5="",ISNUMBER(SEARCH(Search!$N$5,J943))),OR(Search!$N$6="",ISNUMBER(SEARCH(Search!$N$6,J943))),OR(Search!$N$7="",ISNUMBER(SEARCH(Search!$N$7,J943))),OR(Search!$N$8="",ISNUMBER(SEARCH(Search!$N$8,J943)))),1,0))</f>
        <v>0</v>
      </c>
      <c r="L943" s="1" t="n">
        <f aca="false">L942+K943</f>
        <v>0</v>
      </c>
    </row>
    <row r="944" customFormat="false" ht="15" hidden="false" customHeight="true" outlineLevel="0" collapsed="false">
      <c r="A944" s="1" t="s">
        <v>288</v>
      </c>
      <c r="B944" s="1" t="s">
        <v>1221</v>
      </c>
      <c r="C944" s="1" t="n">
        <v>11</v>
      </c>
      <c r="E944" s="1" t="s">
        <v>492</v>
      </c>
      <c r="F944" s="1" t="s">
        <v>2695</v>
      </c>
      <c r="G944" s="1" t="s">
        <v>2696</v>
      </c>
      <c r="H944" s="1" t="s">
        <v>2697</v>
      </c>
      <c r="I944" s="1" t="s">
        <v>1876</v>
      </c>
      <c r="J944" s="1" t="s">
        <v>2698</v>
      </c>
      <c r="K944" s="1" t="n">
        <f aca="false">IF(Search!$D$5="",0,IF(AND(OR(Search!$N$5="",ISNUMBER(SEARCH(Search!$N$5,J944))),OR(Search!$N$6="",ISNUMBER(SEARCH(Search!$N$6,J944))),OR(Search!$N$7="",ISNUMBER(SEARCH(Search!$N$7,J944))),OR(Search!$N$8="",ISNUMBER(SEARCH(Search!$N$8,J944)))),1,0))</f>
        <v>0</v>
      </c>
      <c r="L944" s="1" t="n">
        <f aca="false">L943+K944</f>
        <v>0</v>
      </c>
    </row>
    <row r="945" customFormat="false" ht="15" hidden="false" customHeight="true" outlineLevel="0" collapsed="false">
      <c r="A945" s="1" t="s">
        <v>288</v>
      </c>
      <c r="B945" s="1" t="s">
        <v>1221</v>
      </c>
      <c r="C945" s="1" t="n">
        <v>12</v>
      </c>
      <c r="E945" s="1" t="s">
        <v>2699</v>
      </c>
      <c r="F945" s="1" t="s">
        <v>2543</v>
      </c>
      <c r="G945" s="1" t="s">
        <v>2700</v>
      </c>
      <c r="H945" s="1" t="s">
        <v>2701</v>
      </c>
      <c r="I945" s="1" t="s">
        <v>2702</v>
      </c>
      <c r="J945" s="1" t="s">
        <v>2703</v>
      </c>
      <c r="K945" s="1" t="n">
        <f aca="false">IF(Search!$D$5="",0,IF(AND(OR(Search!$N$5="",ISNUMBER(SEARCH(Search!$N$5,J945))),OR(Search!$N$6="",ISNUMBER(SEARCH(Search!$N$6,J945))),OR(Search!$N$7="",ISNUMBER(SEARCH(Search!$N$7,J945))),OR(Search!$N$8="",ISNUMBER(SEARCH(Search!$N$8,J945)))),1,0))</f>
        <v>0</v>
      </c>
      <c r="L945" s="1" t="n">
        <f aca="false">L944+K945</f>
        <v>0</v>
      </c>
    </row>
    <row r="946" customFormat="false" ht="15" hidden="false" customHeight="true" outlineLevel="0" collapsed="false">
      <c r="A946" s="1" t="s">
        <v>288</v>
      </c>
      <c r="B946" s="1" t="s">
        <v>1221</v>
      </c>
      <c r="C946" s="1" t="n">
        <v>13</v>
      </c>
      <c r="E946" s="1" t="s">
        <v>2704</v>
      </c>
      <c r="F946" s="1" t="s">
        <v>2705</v>
      </c>
      <c r="G946" s="1" t="s">
        <v>2706</v>
      </c>
      <c r="H946" s="1" t="s">
        <v>2707</v>
      </c>
      <c r="I946" s="1" t="s">
        <v>2708</v>
      </c>
      <c r="J946" s="1" t="s">
        <v>2709</v>
      </c>
      <c r="K946" s="1" t="n">
        <f aca="false">IF(Search!$D$5="",0,IF(AND(OR(Search!$N$5="",ISNUMBER(SEARCH(Search!$N$5,J946))),OR(Search!$N$6="",ISNUMBER(SEARCH(Search!$N$6,J946))),OR(Search!$N$7="",ISNUMBER(SEARCH(Search!$N$7,J946))),OR(Search!$N$8="",ISNUMBER(SEARCH(Search!$N$8,J946)))),1,0))</f>
        <v>0</v>
      </c>
      <c r="L946" s="1" t="n">
        <f aca="false">L945+K946</f>
        <v>0</v>
      </c>
    </row>
    <row r="947" customFormat="false" ht="15" hidden="false" customHeight="true" outlineLevel="0" collapsed="false">
      <c r="A947" s="1" t="s">
        <v>288</v>
      </c>
      <c r="B947" s="1" t="s">
        <v>1221</v>
      </c>
      <c r="C947" s="1" t="n">
        <v>14</v>
      </c>
      <c r="E947" s="1" t="s">
        <v>2710</v>
      </c>
      <c r="F947" s="1" t="s">
        <v>987</v>
      </c>
      <c r="G947" s="1" t="s">
        <v>2711</v>
      </c>
      <c r="H947" s="1" t="s">
        <v>2712</v>
      </c>
      <c r="I947" s="1" t="s">
        <v>2708</v>
      </c>
      <c r="J947" s="1" t="s">
        <v>2713</v>
      </c>
      <c r="K947" s="1" t="n">
        <f aca="false">IF(Search!$D$5="",0,IF(AND(OR(Search!$N$5="",ISNUMBER(SEARCH(Search!$N$5,J947))),OR(Search!$N$6="",ISNUMBER(SEARCH(Search!$N$6,J947))),OR(Search!$N$7="",ISNUMBER(SEARCH(Search!$N$7,J947))),OR(Search!$N$8="",ISNUMBER(SEARCH(Search!$N$8,J947)))),1,0))</f>
        <v>0</v>
      </c>
      <c r="L947" s="1" t="n">
        <f aca="false">L946+K947</f>
        <v>0</v>
      </c>
    </row>
    <row r="948" customFormat="false" ht="15" hidden="false" customHeight="true" outlineLevel="0" collapsed="false">
      <c r="A948" s="1" t="s">
        <v>288</v>
      </c>
      <c r="B948" s="1" t="s">
        <v>1221</v>
      </c>
      <c r="C948" s="1" t="n">
        <v>15</v>
      </c>
      <c r="E948" s="1" t="s">
        <v>2062</v>
      </c>
      <c r="F948" s="1" t="s">
        <v>2714</v>
      </c>
      <c r="G948" s="1" t="s">
        <v>2715</v>
      </c>
      <c r="H948" s="1" t="s">
        <v>1830</v>
      </c>
      <c r="I948" s="1" t="s">
        <v>2708</v>
      </c>
      <c r="J948" s="1" t="s">
        <v>2716</v>
      </c>
      <c r="K948" s="1" t="n">
        <f aca="false">IF(Search!$D$5="",0,IF(AND(OR(Search!$N$5="",ISNUMBER(SEARCH(Search!$N$5,J948))),OR(Search!$N$6="",ISNUMBER(SEARCH(Search!$N$6,J948))),OR(Search!$N$7="",ISNUMBER(SEARCH(Search!$N$7,J948))),OR(Search!$N$8="",ISNUMBER(SEARCH(Search!$N$8,J948)))),1,0))</f>
        <v>0</v>
      </c>
      <c r="L948" s="1" t="n">
        <f aca="false">L947+K948</f>
        <v>0</v>
      </c>
    </row>
    <row r="949" customFormat="false" ht="15" hidden="false" customHeight="true" outlineLevel="0" collapsed="false">
      <c r="A949" s="1" t="s">
        <v>288</v>
      </c>
      <c r="B949" s="1" t="s">
        <v>1221</v>
      </c>
      <c r="C949" s="1" t="n">
        <v>16</v>
      </c>
      <c r="E949" s="1" t="s">
        <v>2717</v>
      </c>
      <c r="F949" s="1" t="s">
        <v>1830</v>
      </c>
      <c r="G949" s="1" t="s">
        <v>2718</v>
      </c>
      <c r="H949" s="1" t="s">
        <v>2377</v>
      </c>
      <c r="I949" s="1" t="s">
        <v>2377</v>
      </c>
      <c r="J949" s="1" t="s">
        <v>2719</v>
      </c>
      <c r="K949" s="1" t="n">
        <f aca="false">IF(Search!$D$5="",0,IF(AND(OR(Search!$N$5="",ISNUMBER(SEARCH(Search!$N$5,J949))),OR(Search!$N$6="",ISNUMBER(SEARCH(Search!$N$6,J949))),OR(Search!$N$7="",ISNUMBER(SEARCH(Search!$N$7,J949))),OR(Search!$N$8="",ISNUMBER(SEARCH(Search!$N$8,J949)))),1,0))</f>
        <v>0</v>
      </c>
      <c r="L949" s="1" t="n">
        <f aca="false">L948+K949</f>
        <v>0</v>
      </c>
    </row>
    <row r="950" customFormat="false" ht="15" hidden="false" customHeight="true" outlineLevel="0" collapsed="false">
      <c r="A950" s="1" t="s">
        <v>288</v>
      </c>
      <c r="B950" s="1" t="s">
        <v>1221</v>
      </c>
      <c r="C950" s="1" t="n">
        <v>17</v>
      </c>
      <c r="E950" s="1" t="s">
        <v>749</v>
      </c>
      <c r="F950" s="1" t="s">
        <v>1834</v>
      </c>
      <c r="G950" s="1" t="s">
        <v>2720</v>
      </c>
      <c r="H950" s="1" t="s">
        <v>2721</v>
      </c>
      <c r="I950" s="1" t="s">
        <v>2377</v>
      </c>
      <c r="J950" s="1" t="s">
        <v>2722</v>
      </c>
      <c r="K950" s="1" t="n">
        <f aca="false">IF(Search!$D$5="",0,IF(AND(OR(Search!$N$5="",ISNUMBER(SEARCH(Search!$N$5,J950))),OR(Search!$N$6="",ISNUMBER(SEARCH(Search!$N$6,J950))),OR(Search!$N$7="",ISNUMBER(SEARCH(Search!$N$7,J950))),OR(Search!$N$8="",ISNUMBER(SEARCH(Search!$N$8,J950)))),1,0))</f>
        <v>0</v>
      </c>
      <c r="L950" s="1" t="n">
        <f aca="false">L949+K950</f>
        <v>0</v>
      </c>
    </row>
    <row r="951" customFormat="false" ht="15" hidden="false" customHeight="true" outlineLevel="0" collapsed="false">
      <c r="A951" s="1" t="s">
        <v>288</v>
      </c>
      <c r="B951" s="1" t="s">
        <v>1221</v>
      </c>
      <c r="C951" s="1" t="n">
        <v>18</v>
      </c>
      <c r="E951" s="1" t="s">
        <v>2723</v>
      </c>
      <c r="F951" s="1" t="s">
        <v>1838</v>
      </c>
      <c r="G951" s="1" t="s">
        <v>2724</v>
      </c>
      <c r="H951" s="1" t="s">
        <v>2725</v>
      </c>
      <c r="I951" s="1" t="s">
        <v>1834</v>
      </c>
      <c r="J951" s="1" t="s">
        <v>2726</v>
      </c>
      <c r="K951" s="1" t="n">
        <f aca="false">IF(Search!$D$5="",0,IF(AND(OR(Search!$N$5="",ISNUMBER(SEARCH(Search!$N$5,J951))),OR(Search!$N$6="",ISNUMBER(SEARCH(Search!$N$6,J951))),OR(Search!$N$7="",ISNUMBER(SEARCH(Search!$N$7,J951))),OR(Search!$N$8="",ISNUMBER(SEARCH(Search!$N$8,J951)))),1,0))</f>
        <v>0</v>
      </c>
      <c r="L951" s="1" t="n">
        <f aca="false">L950+K951</f>
        <v>0</v>
      </c>
    </row>
    <row r="952" customFormat="false" ht="15" hidden="false" customHeight="true" outlineLevel="0" collapsed="false">
      <c r="A952" s="1" t="s">
        <v>288</v>
      </c>
      <c r="B952" s="1" t="s">
        <v>1221</v>
      </c>
      <c r="C952" s="1" t="n">
        <v>19</v>
      </c>
      <c r="E952" s="1" t="s">
        <v>436</v>
      </c>
      <c r="F952" s="1" t="s">
        <v>1943</v>
      </c>
      <c r="G952" s="1" t="s">
        <v>2727</v>
      </c>
      <c r="H952" s="1" t="s">
        <v>2728</v>
      </c>
      <c r="I952" s="1" t="s">
        <v>1588</v>
      </c>
      <c r="J952" s="1" t="s">
        <v>2729</v>
      </c>
      <c r="K952" s="1" t="n">
        <f aca="false">IF(Search!$D$5="",0,IF(AND(OR(Search!$N$5="",ISNUMBER(SEARCH(Search!$N$5,J952))),OR(Search!$N$6="",ISNUMBER(SEARCH(Search!$N$6,J952))),OR(Search!$N$7="",ISNUMBER(SEARCH(Search!$N$7,J952))),OR(Search!$N$8="",ISNUMBER(SEARCH(Search!$N$8,J952)))),1,0))</f>
        <v>0</v>
      </c>
      <c r="L952" s="1" t="n">
        <f aca="false">L951+K952</f>
        <v>0</v>
      </c>
    </row>
    <row r="953" customFormat="false" ht="15" hidden="false" customHeight="true" outlineLevel="0" collapsed="false">
      <c r="A953" s="1" t="s">
        <v>288</v>
      </c>
      <c r="B953" s="1" t="s">
        <v>1221</v>
      </c>
      <c r="C953" s="1" t="n">
        <v>20</v>
      </c>
      <c r="E953" s="1" t="s">
        <v>712</v>
      </c>
      <c r="F953" s="1" t="s">
        <v>1904</v>
      </c>
      <c r="G953" s="1" t="s">
        <v>2730</v>
      </c>
      <c r="H953" s="1" t="s">
        <v>2731</v>
      </c>
      <c r="I953" s="1" t="s">
        <v>2732</v>
      </c>
      <c r="J953" s="1" t="s">
        <v>2733</v>
      </c>
      <c r="K953" s="1" t="n">
        <f aca="false">IF(Search!$D$5="",0,IF(AND(OR(Search!$N$5="",ISNUMBER(SEARCH(Search!$N$5,J953))),OR(Search!$N$6="",ISNUMBER(SEARCH(Search!$N$6,J953))),OR(Search!$N$7="",ISNUMBER(SEARCH(Search!$N$7,J953))),OR(Search!$N$8="",ISNUMBER(SEARCH(Search!$N$8,J953)))),1,0))</f>
        <v>0</v>
      </c>
      <c r="L953" s="1" t="n">
        <f aca="false">L952+K953</f>
        <v>0</v>
      </c>
    </row>
    <row r="954" customFormat="false" ht="15" hidden="false" customHeight="true" outlineLevel="0" collapsed="false">
      <c r="A954" s="1" t="s">
        <v>288</v>
      </c>
      <c r="B954" s="1" t="s">
        <v>1221</v>
      </c>
      <c r="C954" s="1" t="n">
        <v>21</v>
      </c>
      <c r="E954" s="1" t="s">
        <v>405</v>
      </c>
      <c r="F954" s="1" t="s">
        <v>1929</v>
      </c>
      <c r="G954" s="1" t="s">
        <v>2734</v>
      </c>
      <c r="H954" s="1" t="s">
        <v>2453</v>
      </c>
      <c r="I954" s="1" t="s">
        <v>2735</v>
      </c>
      <c r="J954" s="1" t="s">
        <v>2736</v>
      </c>
      <c r="K954" s="1" t="n">
        <f aca="false">IF(Search!$D$5="",0,IF(AND(OR(Search!$N$5="",ISNUMBER(SEARCH(Search!$N$5,J954))),OR(Search!$N$6="",ISNUMBER(SEARCH(Search!$N$6,J954))),OR(Search!$N$7="",ISNUMBER(SEARCH(Search!$N$7,J954))),OR(Search!$N$8="",ISNUMBER(SEARCH(Search!$N$8,J954)))),1,0))</f>
        <v>0</v>
      </c>
      <c r="L954" s="1" t="n">
        <f aca="false">L953+K954</f>
        <v>0</v>
      </c>
    </row>
    <row r="955" customFormat="false" ht="15" hidden="false" customHeight="true" outlineLevel="0" collapsed="false">
      <c r="A955" s="1" t="s">
        <v>288</v>
      </c>
      <c r="B955" s="1" t="s">
        <v>1221</v>
      </c>
      <c r="C955" s="1" t="n">
        <v>22</v>
      </c>
      <c r="E955" s="1" t="s">
        <v>2737</v>
      </c>
      <c r="F955" s="1" t="s">
        <v>1975</v>
      </c>
      <c r="G955" s="1" t="s">
        <v>2738</v>
      </c>
      <c r="H955" s="1" t="s">
        <v>2739</v>
      </c>
      <c r="I955" s="1" t="s">
        <v>2740</v>
      </c>
      <c r="J955" s="1" t="s">
        <v>2741</v>
      </c>
      <c r="K955" s="1" t="n">
        <f aca="false">IF(Search!$D$5="",0,IF(AND(OR(Search!$N$5="",ISNUMBER(SEARCH(Search!$N$5,J955))),OR(Search!$N$6="",ISNUMBER(SEARCH(Search!$N$6,J955))),OR(Search!$N$7="",ISNUMBER(SEARCH(Search!$N$7,J955))),OR(Search!$N$8="",ISNUMBER(SEARCH(Search!$N$8,J955)))),1,0))</f>
        <v>0</v>
      </c>
      <c r="L955" s="1" t="n">
        <f aca="false">L954+K955</f>
        <v>0</v>
      </c>
    </row>
    <row r="956" customFormat="false" ht="15" hidden="false" customHeight="true" outlineLevel="0" collapsed="false">
      <c r="A956" s="1" t="s">
        <v>288</v>
      </c>
      <c r="B956" s="1" t="s">
        <v>1221</v>
      </c>
      <c r="C956" s="1" t="n">
        <v>23</v>
      </c>
      <c r="E956" s="1" t="s">
        <v>729</v>
      </c>
      <c r="F956" s="1" t="s">
        <v>627</v>
      </c>
      <c r="G956" s="1" t="s">
        <v>2742</v>
      </c>
      <c r="H956" s="1" t="s">
        <v>2743</v>
      </c>
      <c r="I956" s="1" t="s">
        <v>2744</v>
      </c>
      <c r="J956" s="1" t="s">
        <v>2745</v>
      </c>
      <c r="K956" s="1" t="n">
        <f aca="false">IF(Search!$D$5="",0,IF(AND(OR(Search!$N$5="",ISNUMBER(SEARCH(Search!$N$5,J956))),OR(Search!$N$6="",ISNUMBER(SEARCH(Search!$N$6,J956))),OR(Search!$N$7="",ISNUMBER(SEARCH(Search!$N$7,J956))),OR(Search!$N$8="",ISNUMBER(SEARCH(Search!$N$8,J956)))),1,0))</f>
        <v>0</v>
      </c>
      <c r="L956" s="1" t="n">
        <f aca="false">L955+K956</f>
        <v>0</v>
      </c>
    </row>
    <row r="957" customFormat="false" ht="15" hidden="false" customHeight="true" outlineLevel="0" collapsed="false">
      <c r="A957" s="1" t="s">
        <v>288</v>
      </c>
      <c r="B957" s="1" t="s">
        <v>1221</v>
      </c>
      <c r="C957" s="1" t="n">
        <v>24</v>
      </c>
      <c r="E957" s="1" t="s">
        <v>457</v>
      </c>
      <c r="F957" s="1" t="s">
        <v>2746</v>
      </c>
      <c r="G957" s="1" t="s">
        <v>2747</v>
      </c>
      <c r="H957" s="1" t="s">
        <v>2746</v>
      </c>
      <c r="I957" s="1" t="s">
        <v>2748</v>
      </c>
      <c r="J957" s="1" t="s">
        <v>2749</v>
      </c>
      <c r="K957" s="1" t="n">
        <f aca="false">IF(Search!$D$5="",0,IF(AND(OR(Search!$N$5="",ISNUMBER(SEARCH(Search!$N$5,J957))),OR(Search!$N$6="",ISNUMBER(SEARCH(Search!$N$6,J957))),OR(Search!$N$7="",ISNUMBER(SEARCH(Search!$N$7,J957))),OR(Search!$N$8="",ISNUMBER(SEARCH(Search!$N$8,J957)))),1,0))</f>
        <v>0</v>
      </c>
      <c r="L957" s="1" t="n">
        <f aca="false">L956+K957</f>
        <v>0</v>
      </c>
    </row>
    <row r="958" customFormat="false" ht="15" hidden="false" customHeight="true" outlineLevel="0" collapsed="false">
      <c r="A958" s="1" t="s">
        <v>288</v>
      </c>
      <c r="B958" s="1" t="s">
        <v>1221</v>
      </c>
      <c r="C958" s="1" t="n">
        <v>25</v>
      </c>
      <c r="E958" s="1" t="s">
        <v>408</v>
      </c>
      <c r="F958" s="1" t="s">
        <v>2081</v>
      </c>
      <c r="G958" s="1" t="s">
        <v>2750</v>
      </c>
      <c r="H958" s="1" t="s">
        <v>2081</v>
      </c>
      <c r="I958" s="1" t="s">
        <v>2748</v>
      </c>
      <c r="J958" s="1" t="s">
        <v>2751</v>
      </c>
      <c r="K958" s="1" t="n">
        <f aca="false">IF(Search!$D$5="",0,IF(AND(OR(Search!$N$5="",ISNUMBER(SEARCH(Search!$N$5,J958))),OR(Search!$N$6="",ISNUMBER(SEARCH(Search!$N$6,J958))),OR(Search!$N$7="",ISNUMBER(SEARCH(Search!$N$7,J958))),OR(Search!$N$8="",ISNUMBER(SEARCH(Search!$N$8,J958)))),1,0))</f>
        <v>0</v>
      </c>
      <c r="L958" s="1" t="n">
        <f aca="false">L957+K958</f>
        <v>0</v>
      </c>
    </row>
    <row r="959" customFormat="false" ht="15" hidden="false" customHeight="true" outlineLevel="0" collapsed="false">
      <c r="A959" s="1" t="s">
        <v>288</v>
      </c>
      <c r="B959" s="1" t="s">
        <v>1221</v>
      </c>
      <c r="C959" s="1" t="n">
        <v>28</v>
      </c>
      <c r="E959" s="1" t="s">
        <v>2752</v>
      </c>
      <c r="J959" s="1" t="s">
        <v>2752</v>
      </c>
      <c r="K959" s="1" t="n">
        <f aca="false">IF(Search!$D$5="",0,IF(AND(OR(Search!$N$5="",ISNUMBER(SEARCH(Search!$N$5,J959))),OR(Search!$N$6="",ISNUMBER(SEARCH(Search!$N$6,J959))),OR(Search!$N$7="",ISNUMBER(SEARCH(Search!$N$7,J959))),OR(Search!$N$8="",ISNUMBER(SEARCH(Search!$N$8,J959)))),1,0))</f>
        <v>0</v>
      </c>
      <c r="L959" s="1" t="n">
        <f aca="false">L958+K959</f>
        <v>0</v>
      </c>
    </row>
    <row r="960" customFormat="false" ht="15" hidden="false" customHeight="true" outlineLevel="0" collapsed="false">
      <c r="A960" s="1" t="s">
        <v>288</v>
      </c>
      <c r="B960" s="1" t="s">
        <v>1221</v>
      </c>
      <c r="C960" s="1" t="n">
        <v>29</v>
      </c>
      <c r="E960" s="1" t="s">
        <v>1279</v>
      </c>
      <c r="J960" s="1" t="s">
        <v>1279</v>
      </c>
      <c r="K960" s="1" t="n">
        <f aca="false">IF(Search!$D$5="",0,IF(AND(OR(Search!$N$5="",ISNUMBER(SEARCH(Search!$N$5,J960))),OR(Search!$N$6="",ISNUMBER(SEARCH(Search!$N$6,J960))),OR(Search!$N$7="",ISNUMBER(SEARCH(Search!$N$7,J960))),OR(Search!$N$8="",ISNUMBER(SEARCH(Search!$N$8,J960)))),1,0))</f>
        <v>0</v>
      </c>
      <c r="L960" s="1" t="n">
        <f aca="false">L959+K960</f>
        <v>0</v>
      </c>
    </row>
    <row r="961" customFormat="false" ht="16.5" hidden="false" customHeight="true" outlineLevel="0" collapsed="false">
      <c r="A961" s="1" t="s">
        <v>291</v>
      </c>
      <c r="B961" s="1" t="s">
        <v>1221</v>
      </c>
      <c r="C961" s="1" t="n">
        <v>2</v>
      </c>
      <c r="E961" s="1" t="s">
        <v>2753</v>
      </c>
      <c r="J961" s="1" t="s">
        <v>2753</v>
      </c>
      <c r="K961" s="1" t="n">
        <f aca="false">IF(Search!$D$5="",0,IF(AND(OR(Search!$N$5="",ISNUMBER(SEARCH(Search!$N$5,J961))),OR(Search!$N$6="",ISNUMBER(SEARCH(Search!$N$6,J961))),OR(Search!$N$7="",ISNUMBER(SEARCH(Search!$N$7,J961))),OR(Search!$N$8="",ISNUMBER(SEARCH(Search!$N$8,J961)))),1,0))</f>
        <v>0</v>
      </c>
      <c r="L961" s="1" t="n">
        <f aca="false">L960+K961</f>
        <v>0</v>
      </c>
    </row>
    <row r="962" customFormat="false" ht="15" hidden="false" customHeight="true" outlineLevel="0" collapsed="false">
      <c r="A962" s="1" t="s">
        <v>291</v>
      </c>
      <c r="B962" s="1" t="s">
        <v>1221</v>
      </c>
      <c r="C962" s="1" t="n">
        <v>3</v>
      </c>
      <c r="E962" s="1" t="s">
        <v>2754</v>
      </c>
      <c r="J962" s="1" t="s">
        <v>2754</v>
      </c>
      <c r="K962" s="1" t="n">
        <f aca="false">IF(Search!$D$5="",0,IF(AND(OR(Search!$N$5="",ISNUMBER(SEARCH(Search!$N$5,J962))),OR(Search!$N$6="",ISNUMBER(SEARCH(Search!$N$6,J962))),OR(Search!$N$7="",ISNUMBER(SEARCH(Search!$N$7,J962))),OR(Search!$N$8="",ISNUMBER(SEARCH(Search!$N$8,J962)))),1,0))</f>
        <v>0</v>
      </c>
      <c r="L962" s="1" t="n">
        <f aca="false">L961+K962</f>
        <v>0</v>
      </c>
    </row>
    <row r="963" customFormat="false" ht="15" hidden="false" customHeight="true" outlineLevel="0" collapsed="false">
      <c r="A963" s="1" t="s">
        <v>291</v>
      </c>
      <c r="B963" s="1" t="s">
        <v>1221</v>
      </c>
      <c r="C963" s="1" t="n">
        <v>5</v>
      </c>
      <c r="E963" s="1" t="s">
        <v>2755</v>
      </c>
      <c r="J963" s="1" t="s">
        <v>2755</v>
      </c>
      <c r="K963" s="1" t="n">
        <f aca="false">IF(Search!$D$5="",0,IF(AND(OR(Search!$N$5="",ISNUMBER(SEARCH(Search!$N$5,J963))),OR(Search!$N$6="",ISNUMBER(SEARCH(Search!$N$6,J963))),OR(Search!$N$7="",ISNUMBER(SEARCH(Search!$N$7,J963))),OR(Search!$N$8="",ISNUMBER(SEARCH(Search!$N$8,J963)))),1,0))</f>
        <v>0</v>
      </c>
      <c r="L963" s="1" t="n">
        <f aca="false">L962+K963</f>
        <v>0</v>
      </c>
    </row>
    <row r="964" customFormat="false" ht="81.75" hidden="false" customHeight="true" outlineLevel="0" collapsed="false">
      <c r="A964" s="1" t="s">
        <v>291</v>
      </c>
      <c r="B964" s="1" t="s">
        <v>1221</v>
      </c>
      <c r="C964" s="1" t="n">
        <v>6</v>
      </c>
      <c r="E964" s="46" t="s">
        <v>2756</v>
      </c>
      <c r="F964" s="46" t="s">
        <v>2757</v>
      </c>
      <c r="G964" s="46" t="s">
        <v>2758</v>
      </c>
      <c r="H964" s="46" t="s">
        <v>2759</v>
      </c>
      <c r="I964" s="46" t="s">
        <v>2760</v>
      </c>
      <c r="J964" s="46" t="s">
        <v>2761</v>
      </c>
      <c r="K964" s="1" t="n">
        <f aca="false">IF(Search!$D$5="",0,IF(AND(OR(Search!$N$5="",ISNUMBER(SEARCH(Search!$N$5,J964))),OR(Search!$N$6="",ISNUMBER(SEARCH(Search!$N$6,J964))),OR(Search!$N$7="",ISNUMBER(SEARCH(Search!$N$7,J964))),OR(Search!$N$8="",ISNUMBER(SEARCH(Search!$N$8,J964)))),1,0))</f>
        <v>0</v>
      </c>
      <c r="L964" s="1" t="n">
        <f aca="false">L963+K964</f>
        <v>0</v>
      </c>
    </row>
    <row r="965" customFormat="false" ht="15" hidden="false" customHeight="true" outlineLevel="0" collapsed="false">
      <c r="A965" s="1" t="s">
        <v>291</v>
      </c>
      <c r="B965" s="1" t="s">
        <v>1221</v>
      </c>
      <c r="C965" s="1" t="n">
        <v>7</v>
      </c>
      <c r="E965" s="1" t="s">
        <v>2061</v>
      </c>
      <c r="F965" s="1" t="s">
        <v>2679</v>
      </c>
      <c r="G965" s="1" t="s">
        <v>2762</v>
      </c>
      <c r="H965" s="1" t="s">
        <v>2763</v>
      </c>
      <c r="I965" s="1" t="s">
        <v>584</v>
      </c>
      <c r="J965" s="1" t="s">
        <v>2764</v>
      </c>
      <c r="K965" s="1" t="n">
        <f aca="false">IF(Search!$D$5="",0,IF(AND(OR(Search!$N$5="",ISNUMBER(SEARCH(Search!$N$5,J965))),OR(Search!$N$6="",ISNUMBER(SEARCH(Search!$N$6,J965))),OR(Search!$N$7="",ISNUMBER(SEARCH(Search!$N$7,J965))),OR(Search!$N$8="",ISNUMBER(SEARCH(Search!$N$8,J965)))),1,0))</f>
        <v>0</v>
      </c>
      <c r="L965" s="1" t="n">
        <f aca="false">L964+K965</f>
        <v>0</v>
      </c>
    </row>
    <row r="966" customFormat="false" ht="15" hidden="false" customHeight="true" outlineLevel="0" collapsed="false">
      <c r="A966" s="1" t="s">
        <v>291</v>
      </c>
      <c r="B966" s="1" t="s">
        <v>1221</v>
      </c>
      <c r="C966" s="1" t="n">
        <v>8</v>
      </c>
      <c r="E966" s="1" t="s">
        <v>587</v>
      </c>
      <c r="F966" s="1" t="s">
        <v>2684</v>
      </c>
      <c r="G966" s="1" t="s">
        <v>2765</v>
      </c>
      <c r="H966" s="1" t="s">
        <v>1389</v>
      </c>
      <c r="I966" s="1" t="s">
        <v>2766</v>
      </c>
      <c r="J966" s="1" t="s">
        <v>2767</v>
      </c>
      <c r="K966" s="1" t="n">
        <f aca="false">IF(Search!$D$5="",0,IF(AND(OR(Search!$N$5="",ISNUMBER(SEARCH(Search!$N$5,J966))),OR(Search!$N$6="",ISNUMBER(SEARCH(Search!$N$6,J966))),OR(Search!$N$7="",ISNUMBER(SEARCH(Search!$N$7,J966))),OR(Search!$N$8="",ISNUMBER(SEARCH(Search!$N$8,J966)))),1,0))</f>
        <v>0</v>
      </c>
      <c r="L966" s="1" t="n">
        <f aca="false">L965+K966</f>
        <v>0</v>
      </c>
    </row>
    <row r="967" customFormat="false" ht="15" hidden="false" customHeight="true" outlineLevel="0" collapsed="false">
      <c r="A967" s="1" t="s">
        <v>291</v>
      </c>
      <c r="B967" s="1" t="s">
        <v>1221</v>
      </c>
      <c r="C967" s="1" t="n">
        <v>9</v>
      </c>
      <c r="E967" s="1" t="s">
        <v>2168</v>
      </c>
      <c r="F967" s="1" t="s">
        <v>1045</v>
      </c>
      <c r="G967" s="1" t="s">
        <v>2768</v>
      </c>
      <c r="H967" s="1" t="s">
        <v>2769</v>
      </c>
      <c r="I967" s="1" t="s">
        <v>2770</v>
      </c>
      <c r="J967" s="1" t="s">
        <v>2771</v>
      </c>
      <c r="K967" s="1" t="n">
        <f aca="false">IF(Search!$D$5="",0,IF(AND(OR(Search!$N$5="",ISNUMBER(SEARCH(Search!$N$5,J967))),OR(Search!$N$6="",ISNUMBER(SEARCH(Search!$N$6,J967))),OR(Search!$N$7="",ISNUMBER(SEARCH(Search!$N$7,J967))),OR(Search!$N$8="",ISNUMBER(SEARCH(Search!$N$8,J967)))),1,0))</f>
        <v>0</v>
      </c>
      <c r="L967" s="1" t="n">
        <f aca="false">L966+K967</f>
        <v>0</v>
      </c>
    </row>
    <row r="968" customFormat="false" ht="15" hidden="false" customHeight="true" outlineLevel="0" collapsed="false">
      <c r="A968" s="1" t="s">
        <v>291</v>
      </c>
      <c r="B968" s="1" t="s">
        <v>1221</v>
      </c>
      <c r="C968" s="1" t="n">
        <v>10</v>
      </c>
      <c r="E968" s="1" t="s">
        <v>982</v>
      </c>
      <c r="F968" s="1" t="s">
        <v>2691</v>
      </c>
      <c r="G968" s="1" t="s">
        <v>2772</v>
      </c>
      <c r="H968" s="1" t="s">
        <v>2773</v>
      </c>
      <c r="I968" s="1" t="s">
        <v>2140</v>
      </c>
      <c r="J968" s="1" t="s">
        <v>2774</v>
      </c>
      <c r="K968" s="1" t="n">
        <f aca="false">IF(Search!$D$5="",0,IF(AND(OR(Search!$N$5="",ISNUMBER(SEARCH(Search!$N$5,J968))),OR(Search!$N$6="",ISNUMBER(SEARCH(Search!$N$6,J968))),OR(Search!$N$7="",ISNUMBER(SEARCH(Search!$N$7,J968))),OR(Search!$N$8="",ISNUMBER(SEARCH(Search!$N$8,J968)))),1,0))</f>
        <v>0</v>
      </c>
      <c r="L968" s="1" t="n">
        <f aca="false">L967+K968</f>
        <v>0</v>
      </c>
    </row>
    <row r="969" customFormat="false" ht="15" hidden="false" customHeight="true" outlineLevel="0" collapsed="false">
      <c r="A969" s="1" t="s">
        <v>291</v>
      </c>
      <c r="B969" s="1" t="s">
        <v>1221</v>
      </c>
      <c r="C969" s="1" t="n">
        <v>11</v>
      </c>
      <c r="E969" s="1" t="s">
        <v>492</v>
      </c>
      <c r="F969" s="1" t="s">
        <v>2695</v>
      </c>
      <c r="G969" s="1" t="s">
        <v>2775</v>
      </c>
      <c r="H969" s="1" t="s">
        <v>2776</v>
      </c>
      <c r="I969" s="1" t="s">
        <v>2777</v>
      </c>
      <c r="J969" s="1" t="s">
        <v>2778</v>
      </c>
      <c r="K969" s="1" t="n">
        <f aca="false">IF(Search!$D$5="",0,IF(AND(OR(Search!$N$5="",ISNUMBER(SEARCH(Search!$N$5,J969))),OR(Search!$N$6="",ISNUMBER(SEARCH(Search!$N$6,J969))),OR(Search!$N$7="",ISNUMBER(SEARCH(Search!$N$7,J969))),OR(Search!$N$8="",ISNUMBER(SEARCH(Search!$N$8,J969)))),1,0))</f>
        <v>0</v>
      </c>
      <c r="L969" s="1" t="n">
        <f aca="false">L968+K969</f>
        <v>0</v>
      </c>
    </row>
    <row r="970" customFormat="false" ht="15" hidden="false" customHeight="true" outlineLevel="0" collapsed="false">
      <c r="A970" s="1" t="s">
        <v>291</v>
      </c>
      <c r="B970" s="1" t="s">
        <v>1221</v>
      </c>
      <c r="C970" s="1" t="n">
        <v>12</v>
      </c>
      <c r="E970" s="1" t="s">
        <v>2699</v>
      </c>
      <c r="F970" s="1" t="s">
        <v>2543</v>
      </c>
      <c r="G970" s="1" t="s">
        <v>2779</v>
      </c>
      <c r="H970" s="1" t="s">
        <v>1409</v>
      </c>
      <c r="I970" s="1" t="s">
        <v>2780</v>
      </c>
      <c r="J970" s="1" t="s">
        <v>2781</v>
      </c>
      <c r="K970" s="1" t="n">
        <f aca="false">IF(Search!$D$5="",0,IF(AND(OR(Search!$N$5="",ISNUMBER(SEARCH(Search!$N$5,J970))),OR(Search!$N$6="",ISNUMBER(SEARCH(Search!$N$6,J970))),OR(Search!$N$7="",ISNUMBER(SEARCH(Search!$N$7,J970))),OR(Search!$N$8="",ISNUMBER(SEARCH(Search!$N$8,J970)))),1,0))</f>
        <v>0</v>
      </c>
      <c r="L970" s="1" t="n">
        <f aca="false">L969+K970</f>
        <v>0</v>
      </c>
    </row>
    <row r="971" customFormat="false" ht="15" hidden="false" customHeight="true" outlineLevel="0" collapsed="false">
      <c r="A971" s="1" t="s">
        <v>291</v>
      </c>
      <c r="B971" s="1" t="s">
        <v>1221</v>
      </c>
      <c r="C971" s="1" t="n">
        <v>13</v>
      </c>
      <c r="E971" s="1" t="s">
        <v>2704</v>
      </c>
      <c r="F971" s="1" t="s">
        <v>2705</v>
      </c>
      <c r="G971" s="1" t="s">
        <v>2782</v>
      </c>
      <c r="H971" s="1" t="s">
        <v>2783</v>
      </c>
      <c r="I971" s="1" t="s">
        <v>2784</v>
      </c>
      <c r="J971" s="1" t="s">
        <v>2785</v>
      </c>
      <c r="K971" s="1" t="n">
        <f aca="false">IF(Search!$D$5="",0,IF(AND(OR(Search!$N$5="",ISNUMBER(SEARCH(Search!$N$5,J971))),OR(Search!$N$6="",ISNUMBER(SEARCH(Search!$N$6,J971))),OR(Search!$N$7="",ISNUMBER(SEARCH(Search!$N$7,J971))),OR(Search!$N$8="",ISNUMBER(SEARCH(Search!$N$8,J971)))),1,0))</f>
        <v>0</v>
      </c>
      <c r="L971" s="1" t="n">
        <f aca="false">L970+K971</f>
        <v>0</v>
      </c>
    </row>
    <row r="972" customFormat="false" ht="15" hidden="false" customHeight="true" outlineLevel="0" collapsed="false">
      <c r="A972" s="1" t="s">
        <v>291</v>
      </c>
      <c r="B972" s="1" t="s">
        <v>1221</v>
      </c>
      <c r="C972" s="1" t="n">
        <v>14</v>
      </c>
      <c r="E972" s="1" t="s">
        <v>2710</v>
      </c>
      <c r="F972" s="1" t="s">
        <v>987</v>
      </c>
      <c r="G972" s="1" t="s">
        <v>2786</v>
      </c>
      <c r="H972" s="1" t="s">
        <v>2787</v>
      </c>
      <c r="I972" s="1" t="s">
        <v>2788</v>
      </c>
      <c r="J972" s="1" t="s">
        <v>2789</v>
      </c>
      <c r="K972" s="1" t="n">
        <f aca="false">IF(Search!$D$5="",0,IF(AND(OR(Search!$N$5="",ISNUMBER(SEARCH(Search!$N$5,J972))),OR(Search!$N$6="",ISNUMBER(SEARCH(Search!$N$6,J972))),OR(Search!$N$7="",ISNUMBER(SEARCH(Search!$N$7,J972))),OR(Search!$N$8="",ISNUMBER(SEARCH(Search!$N$8,J972)))),1,0))</f>
        <v>0</v>
      </c>
      <c r="L972" s="1" t="n">
        <f aca="false">L971+K972</f>
        <v>0</v>
      </c>
    </row>
    <row r="973" customFormat="false" ht="15" hidden="false" customHeight="true" outlineLevel="0" collapsed="false">
      <c r="A973" s="1" t="s">
        <v>291</v>
      </c>
      <c r="B973" s="1" t="s">
        <v>1221</v>
      </c>
      <c r="C973" s="1" t="n">
        <v>15</v>
      </c>
      <c r="E973" s="1" t="s">
        <v>2062</v>
      </c>
      <c r="F973" s="1" t="s">
        <v>2714</v>
      </c>
      <c r="G973" s="1" t="s">
        <v>2050</v>
      </c>
      <c r="H973" s="1" t="s">
        <v>2790</v>
      </c>
      <c r="I973" s="1" t="s">
        <v>2791</v>
      </c>
      <c r="J973" s="1" t="s">
        <v>2792</v>
      </c>
      <c r="K973" s="1" t="n">
        <f aca="false">IF(Search!$D$5="",0,IF(AND(OR(Search!$N$5="",ISNUMBER(SEARCH(Search!$N$5,J973))),OR(Search!$N$6="",ISNUMBER(SEARCH(Search!$N$6,J973))),OR(Search!$N$7="",ISNUMBER(SEARCH(Search!$N$7,J973))),OR(Search!$N$8="",ISNUMBER(SEARCH(Search!$N$8,J973)))),1,0))</f>
        <v>0</v>
      </c>
      <c r="L973" s="1" t="n">
        <f aca="false">L972+K973</f>
        <v>0</v>
      </c>
    </row>
    <row r="974" customFormat="false" ht="15" hidden="false" customHeight="true" outlineLevel="0" collapsed="false">
      <c r="A974" s="1" t="s">
        <v>291</v>
      </c>
      <c r="B974" s="1" t="s">
        <v>1221</v>
      </c>
      <c r="C974" s="1" t="n">
        <v>16</v>
      </c>
      <c r="E974" s="1" t="s">
        <v>2717</v>
      </c>
      <c r="F974" s="1" t="s">
        <v>1830</v>
      </c>
      <c r="G974" s="1" t="s">
        <v>2793</v>
      </c>
      <c r="H974" s="1" t="s">
        <v>2794</v>
      </c>
      <c r="I974" s="1" t="s">
        <v>2795</v>
      </c>
      <c r="J974" s="1" t="s">
        <v>2796</v>
      </c>
      <c r="K974" s="1" t="n">
        <f aca="false">IF(Search!$D$5="",0,IF(AND(OR(Search!$N$5="",ISNUMBER(SEARCH(Search!$N$5,J974))),OR(Search!$N$6="",ISNUMBER(SEARCH(Search!$N$6,J974))),OR(Search!$N$7="",ISNUMBER(SEARCH(Search!$N$7,J974))),OR(Search!$N$8="",ISNUMBER(SEARCH(Search!$N$8,J974)))),1,0))</f>
        <v>0</v>
      </c>
      <c r="L974" s="1" t="n">
        <f aca="false">L973+K974</f>
        <v>0</v>
      </c>
    </row>
    <row r="975" customFormat="false" ht="15" hidden="false" customHeight="true" outlineLevel="0" collapsed="false">
      <c r="A975" s="1" t="s">
        <v>291</v>
      </c>
      <c r="B975" s="1" t="s">
        <v>1221</v>
      </c>
      <c r="C975" s="1" t="n">
        <v>17</v>
      </c>
      <c r="E975" s="1" t="s">
        <v>749</v>
      </c>
      <c r="F975" s="1" t="s">
        <v>1834</v>
      </c>
      <c r="G975" s="1" t="s">
        <v>2797</v>
      </c>
      <c r="H975" s="1" t="s">
        <v>1681</v>
      </c>
      <c r="I975" s="1" t="s">
        <v>2798</v>
      </c>
      <c r="J975" s="1" t="s">
        <v>2799</v>
      </c>
      <c r="K975" s="1" t="n">
        <f aca="false">IF(Search!$D$5="",0,IF(AND(OR(Search!$N$5="",ISNUMBER(SEARCH(Search!$N$5,J975))),OR(Search!$N$6="",ISNUMBER(SEARCH(Search!$N$6,J975))),OR(Search!$N$7="",ISNUMBER(SEARCH(Search!$N$7,J975))),OR(Search!$N$8="",ISNUMBER(SEARCH(Search!$N$8,J975)))),1,0))</f>
        <v>0</v>
      </c>
      <c r="L975" s="1" t="n">
        <f aca="false">L974+K975</f>
        <v>0</v>
      </c>
    </row>
    <row r="976" customFormat="false" ht="15" hidden="false" customHeight="true" outlineLevel="0" collapsed="false">
      <c r="A976" s="1" t="s">
        <v>291</v>
      </c>
      <c r="B976" s="1" t="s">
        <v>1221</v>
      </c>
      <c r="C976" s="1" t="n">
        <v>18</v>
      </c>
      <c r="E976" s="1" t="s">
        <v>2723</v>
      </c>
      <c r="F976" s="1" t="s">
        <v>1838</v>
      </c>
      <c r="G976" s="1" t="s">
        <v>2800</v>
      </c>
      <c r="H976" s="1" t="s">
        <v>2569</v>
      </c>
      <c r="I976" s="1" t="s">
        <v>2801</v>
      </c>
      <c r="J976" s="1" t="s">
        <v>2802</v>
      </c>
      <c r="K976" s="1" t="n">
        <f aca="false">IF(Search!$D$5="",0,IF(AND(OR(Search!$N$5="",ISNUMBER(SEARCH(Search!$N$5,J976))),OR(Search!$N$6="",ISNUMBER(SEARCH(Search!$N$6,J976))),OR(Search!$N$7="",ISNUMBER(SEARCH(Search!$N$7,J976))),OR(Search!$N$8="",ISNUMBER(SEARCH(Search!$N$8,J976)))),1,0))</f>
        <v>0</v>
      </c>
      <c r="L976" s="1" t="n">
        <f aca="false">L975+K976</f>
        <v>0</v>
      </c>
    </row>
    <row r="977" customFormat="false" ht="15" hidden="false" customHeight="true" outlineLevel="0" collapsed="false">
      <c r="A977" s="1" t="s">
        <v>291</v>
      </c>
      <c r="B977" s="1" t="s">
        <v>1221</v>
      </c>
      <c r="C977" s="1" t="n">
        <v>21</v>
      </c>
      <c r="E977" s="1" t="s">
        <v>2803</v>
      </c>
      <c r="J977" s="1" t="s">
        <v>2803</v>
      </c>
      <c r="K977" s="1" t="n">
        <f aca="false">IF(Search!$D$5="",0,IF(AND(OR(Search!$N$5="",ISNUMBER(SEARCH(Search!$N$5,J977))),OR(Search!$N$6="",ISNUMBER(SEARCH(Search!$N$6,J977))),OR(Search!$N$7="",ISNUMBER(SEARCH(Search!$N$7,J977))),OR(Search!$N$8="",ISNUMBER(SEARCH(Search!$N$8,J977)))),1,0))</f>
        <v>0</v>
      </c>
      <c r="L977" s="1" t="n">
        <f aca="false">L976+K977</f>
        <v>0</v>
      </c>
    </row>
    <row r="978" customFormat="false" ht="81.75" hidden="false" customHeight="true" outlineLevel="0" collapsed="false">
      <c r="A978" s="1" t="s">
        <v>291</v>
      </c>
      <c r="B978" s="1" t="s">
        <v>1221</v>
      </c>
      <c r="C978" s="1" t="n">
        <v>22</v>
      </c>
      <c r="E978" s="46" t="s">
        <v>2756</v>
      </c>
      <c r="F978" s="46" t="s">
        <v>2757</v>
      </c>
      <c r="G978" s="46" t="s">
        <v>2675</v>
      </c>
      <c r="H978" s="46" t="s">
        <v>2804</v>
      </c>
      <c r="I978" s="46" t="s">
        <v>2677</v>
      </c>
      <c r="J978" s="46" t="s">
        <v>2805</v>
      </c>
      <c r="K978" s="1" t="n">
        <f aca="false">IF(Search!$D$5="",0,IF(AND(OR(Search!$N$5="",ISNUMBER(SEARCH(Search!$N$5,J978))),OR(Search!$N$6="",ISNUMBER(SEARCH(Search!$N$6,J978))),OR(Search!$N$7="",ISNUMBER(SEARCH(Search!$N$7,J978))),OR(Search!$N$8="",ISNUMBER(SEARCH(Search!$N$8,J978)))),1,0))</f>
        <v>0</v>
      </c>
      <c r="L978" s="1" t="n">
        <f aca="false">L977+K978</f>
        <v>0</v>
      </c>
    </row>
    <row r="979" customFormat="false" ht="15" hidden="false" customHeight="true" outlineLevel="0" collapsed="false">
      <c r="A979" s="1" t="s">
        <v>291</v>
      </c>
      <c r="B979" s="1" t="s">
        <v>1221</v>
      </c>
      <c r="C979" s="1" t="n">
        <v>23</v>
      </c>
      <c r="E979" s="1" t="s">
        <v>2061</v>
      </c>
      <c r="F979" s="1" t="s">
        <v>2679</v>
      </c>
      <c r="G979" s="1" t="s">
        <v>2762</v>
      </c>
      <c r="H979" s="1" t="s">
        <v>2806</v>
      </c>
      <c r="I979" s="1" t="s">
        <v>2776</v>
      </c>
      <c r="J979" s="1" t="s">
        <v>2807</v>
      </c>
      <c r="K979" s="1" t="n">
        <f aca="false">IF(Search!$D$5="",0,IF(AND(OR(Search!$N$5="",ISNUMBER(SEARCH(Search!$N$5,J979))),OR(Search!$N$6="",ISNUMBER(SEARCH(Search!$N$6,J979))),OR(Search!$N$7="",ISNUMBER(SEARCH(Search!$N$7,J979))),OR(Search!$N$8="",ISNUMBER(SEARCH(Search!$N$8,J979)))),1,0))</f>
        <v>0</v>
      </c>
      <c r="L979" s="1" t="n">
        <f aca="false">L978+K979</f>
        <v>0</v>
      </c>
    </row>
    <row r="980" customFormat="false" ht="15" hidden="false" customHeight="true" outlineLevel="0" collapsed="false">
      <c r="A980" s="1" t="s">
        <v>291</v>
      </c>
      <c r="B980" s="1" t="s">
        <v>1221</v>
      </c>
      <c r="C980" s="1" t="n">
        <v>24</v>
      </c>
      <c r="E980" s="1" t="s">
        <v>587</v>
      </c>
      <c r="F980" s="1" t="s">
        <v>2684</v>
      </c>
      <c r="G980" s="1" t="s">
        <v>2765</v>
      </c>
      <c r="H980" s="1" t="s">
        <v>2808</v>
      </c>
      <c r="I980" s="1" t="s">
        <v>2809</v>
      </c>
      <c r="J980" s="1" t="s">
        <v>2810</v>
      </c>
      <c r="K980" s="1" t="n">
        <f aca="false">IF(Search!$D$5="",0,IF(AND(OR(Search!$N$5="",ISNUMBER(SEARCH(Search!$N$5,J980))),OR(Search!$N$6="",ISNUMBER(SEARCH(Search!$N$6,J980))),OR(Search!$N$7="",ISNUMBER(SEARCH(Search!$N$7,J980))),OR(Search!$N$8="",ISNUMBER(SEARCH(Search!$N$8,J980)))),1,0))</f>
        <v>0</v>
      </c>
      <c r="L980" s="1" t="n">
        <f aca="false">L979+K980</f>
        <v>0</v>
      </c>
    </row>
    <row r="981" customFormat="false" ht="15" hidden="false" customHeight="true" outlineLevel="0" collapsed="false">
      <c r="A981" s="1" t="s">
        <v>291</v>
      </c>
      <c r="B981" s="1" t="s">
        <v>1221</v>
      </c>
      <c r="C981" s="1" t="n">
        <v>25</v>
      </c>
      <c r="E981" s="1" t="s">
        <v>2168</v>
      </c>
      <c r="F981" s="1" t="s">
        <v>1045</v>
      </c>
      <c r="G981" s="1" t="s">
        <v>2768</v>
      </c>
      <c r="H981" s="1" t="s">
        <v>2811</v>
      </c>
      <c r="I981" s="1" t="s">
        <v>2812</v>
      </c>
      <c r="J981" s="1" t="s">
        <v>2813</v>
      </c>
      <c r="K981" s="1" t="n">
        <f aca="false">IF(Search!$D$5="",0,IF(AND(OR(Search!$N$5="",ISNUMBER(SEARCH(Search!$N$5,J981))),OR(Search!$N$6="",ISNUMBER(SEARCH(Search!$N$6,J981))),OR(Search!$N$7="",ISNUMBER(SEARCH(Search!$N$7,J981))),OR(Search!$N$8="",ISNUMBER(SEARCH(Search!$N$8,J981)))),1,0))</f>
        <v>0</v>
      </c>
      <c r="L981" s="1" t="n">
        <f aca="false">L980+K981</f>
        <v>0</v>
      </c>
    </row>
    <row r="982" customFormat="false" ht="15" hidden="false" customHeight="true" outlineLevel="0" collapsed="false">
      <c r="A982" s="1" t="s">
        <v>291</v>
      </c>
      <c r="B982" s="1" t="s">
        <v>1221</v>
      </c>
      <c r="C982" s="1" t="n">
        <v>26</v>
      </c>
      <c r="E982" s="1" t="s">
        <v>982</v>
      </c>
      <c r="F982" s="1" t="s">
        <v>2691</v>
      </c>
      <c r="G982" s="1" t="s">
        <v>2772</v>
      </c>
      <c r="H982" s="1" t="s">
        <v>2814</v>
      </c>
      <c r="I982" s="1" t="s">
        <v>2815</v>
      </c>
      <c r="J982" s="1" t="s">
        <v>2816</v>
      </c>
      <c r="K982" s="1" t="n">
        <f aca="false">IF(Search!$D$5="",0,IF(AND(OR(Search!$N$5="",ISNUMBER(SEARCH(Search!$N$5,J982))),OR(Search!$N$6="",ISNUMBER(SEARCH(Search!$N$6,J982))),OR(Search!$N$7="",ISNUMBER(SEARCH(Search!$N$7,J982))),OR(Search!$N$8="",ISNUMBER(SEARCH(Search!$N$8,J982)))),1,0))</f>
        <v>0</v>
      </c>
      <c r="L982" s="1" t="n">
        <f aca="false">L981+K982</f>
        <v>0</v>
      </c>
    </row>
    <row r="983" customFormat="false" ht="15" hidden="false" customHeight="true" outlineLevel="0" collapsed="false">
      <c r="A983" s="1" t="s">
        <v>291</v>
      </c>
      <c r="B983" s="1" t="s">
        <v>1221</v>
      </c>
      <c r="C983" s="1" t="n">
        <v>27</v>
      </c>
      <c r="E983" s="1" t="s">
        <v>492</v>
      </c>
      <c r="F983" s="1" t="s">
        <v>2695</v>
      </c>
      <c r="G983" s="1" t="s">
        <v>2775</v>
      </c>
      <c r="H983" s="1" t="s">
        <v>2817</v>
      </c>
      <c r="I983" s="1" t="s">
        <v>2818</v>
      </c>
      <c r="J983" s="1" t="s">
        <v>2819</v>
      </c>
      <c r="K983" s="1" t="n">
        <f aca="false">IF(Search!$D$5="",0,IF(AND(OR(Search!$N$5="",ISNUMBER(SEARCH(Search!$N$5,J983))),OR(Search!$N$6="",ISNUMBER(SEARCH(Search!$N$6,J983))),OR(Search!$N$7="",ISNUMBER(SEARCH(Search!$N$7,J983))),OR(Search!$N$8="",ISNUMBER(SEARCH(Search!$N$8,J983)))),1,0))</f>
        <v>0</v>
      </c>
      <c r="L983" s="1" t="n">
        <f aca="false">L982+K983</f>
        <v>0</v>
      </c>
    </row>
    <row r="984" customFormat="false" ht="15" hidden="false" customHeight="true" outlineLevel="0" collapsed="false">
      <c r="A984" s="1" t="s">
        <v>291</v>
      </c>
      <c r="B984" s="1" t="s">
        <v>1221</v>
      </c>
      <c r="C984" s="1" t="n">
        <v>28</v>
      </c>
      <c r="E984" s="1" t="s">
        <v>2699</v>
      </c>
      <c r="F984" s="1" t="s">
        <v>2543</v>
      </c>
      <c r="G984" s="1" t="s">
        <v>2779</v>
      </c>
      <c r="H984" s="1" t="s">
        <v>2820</v>
      </c>
      <c r="I984" s="1" t="s">
        <v>1413</v>
      </c>
      <c r="J984" s="1" t="s">
        <v>2821</v>
      </c>
      <c r="K984" s="1" t="n">
        <f aca="false">IF(Search!$D$5="",0,IF(AND(OR(Search!$N$5="",ISNUMBER(SEARCH(Search!$N$5,J984))),OR(Search!$N$6="",ISNUMBER(SEARCH(Search!$N$6,J984))),OR(Search!$N$7="",ISNUMBER(SEARCH(Search!$N$7,J984))),OR(Search!$N$8="",ISNUMBER(SEARCH(Search!$N$8,J984)))),1,0))</f>
        <v>0</v>
      </c>
      <c r="L984" s="1" t="n">
        <f aca="false">L983+K984</f>
        <v>0</v>
      </c>
    </row>
    <row r="985" customFormat="false" ht="15" hidden="false" customHeight="true" outlineLevel="0" collapsed="false">
      <c r="A985" s="1" t="s">
        <v>291</v>
      </c>
      <c r="B985" s="1" t="s">
        <v>1221</v>
      </c>
      <c r="C985" s="1" t="n">
        <v>29</v>
      </c>
      <c r="E985" s="1" t="s">
        <v>2704</v>
      </c>
      <c r="F985" s="1" t="s">
        <v>2705</v>
      </c>
      <c r="G985" s="1" t="s">
        <v>2782</v>
      </c>
      <c r="H985" s="1" t="s">
        <v>2822</v>
      </c>
      <c r="I985" s="1" t="s">
        <v>2682</v>
      </c>
      <c r="J985" s="1" t="s">
        <v>2823</v>
      </c>
      <c r="K985" s="1" t="n">
        <f aca="false">IF(Search!$D$5="",0,IF(AND(OR(Search!$N$5="",ISNUMBER(SEARCH(Search!$N$5,J985))),OR(Search!$N$6="",ISNUMBER(SEARCH(Search!$N$6,J985))),OR(Search!$N$7="",ISNUMBER(SEARCH(Search!$N$7,J985))),OR(Search!$N$8="",ISNUMBER(SEARCH(Search!$N$8,J985)))),1,0))</f>
        <v>0</v>
      </c>
      <c r="L985" s="1" t="n">
        <f aca="false">L984+K985</f>
        <v>0</v>
      </c>
    </row>
    <row r="986" customFormat="false" ht="15" hidden="false" customHeight="true" outlineLevel="0" collapsed="false">
      <c r="A986" s="1" t="s">
        <v>291</v>
      </c>
      <c r="B986" s="1" t="s">
        <v>1221</v>
      </c>
      <c r="C986" s="1" t="n">
        <v>30</v>
      </c>
      <c r="E986" s="1" t="s">
        <v>2710</v>
      </c>
      <c r="F986" s="1" t="s">
        <v>987</v>
      </c>
      <c r="G986" s="1" t="s">
        <v>2786</v>
      </c>
      <c r="H986" s="1" t="s">
        <v>2824</v>
      </c>
      <c r="I986" s="1" t="s">
        <v>1888</v>
      </c>
      <c r="J986" s="1" t="s">
        <v>2825</v>
      </c>
      <c r="K986" s="1" t="n">
        <f aca="false">IF(Search!$D$5="",0,IF(AND(OR(Search!$N$5="",ISNUMBER(SEARCH(Search!$N$5,J986))),OR(Search!$N$6="",ISNUMBER(SEARCH(Search!$N$6,J986))),OR(Search!$N$7="",ISNUMBER(SEARCH(Search!$N$7,J986))),OR(Search!$N$8="",ISNUMBER(SEARCH(Search!$N$8,J986)))),1,0))</f>
        <v>0</v>
      </c>
      <c r="L986" s="1" t="n">
        <f aca="false">L985+K986</f>
        <v>0</v>
      </c>
    </row>
    <row r="987" customFormat="false" ht="15" hidden="false" customHeight="true" outlineLevel="0" collapsed="false">
      <c r="A987" s="1" t="s">
        <v>291</v>
      </c>
      <c r="B987" s="1" t="s">
        <v>1221</v>
      </c>
      <c r="C987" s="1" t="n">
        <v>31</v>
      </c>
      <c r="E987" s="1" t="s">
        <v>2717</v>
      </c>
      <c r="F987" s="1" t="s">
        <v>1830</v>
      </c>
      <c r="G987" s="1" t="s">
        <v>2793</v>
      </c>
      <c r="H987" s="1" t="s">
        <v>2826</v>
      </c>
      <c r="I987" s="1" t="s">
        <v>2358</v>
      </c>
      <c r="J987" s="1" t="s">
        <v>2827</v>
      </c>
      <c r="K987" s="1" t="n">
        <f aca="false">IF(Search!$D$5="",0,IF(AND(OR(Search!$N$5="",ISNUMBER(SEARCH(Search!$N$5,J987))),OR(Search!$N$6="",ISNUMBER(SEARCH(Search!$N$6,J987))),OR(Search!$N$7="",ISNUMBER(SEARCH(Search!$N$7,J987))),OR(Search!$N$8="",ISNUMBER(SEARCH(Search!$N$8,J987)))),1,0))</f>
        <v>0</v>
      </c>
      <c r="L987" s="1" t="n">
        <f aca="false">L986+K987</f>
        <v>0</v>
      </c>
    </row>
    <row r="988" customFormat="false" ht="15" hidden="false" customHeight="true" outlineLevel="0" collapsed="false">
      <c r="A988" s="1" t="s">
        <v>291</v>
      </c>
      <c r="B988" s="1" t="s">
        <v>1221</v>
      </c>
      <c r="C988" s="1" t="n">
        <v>34</v>
      </c>
      <c r="E988" s="1" t="s">
        <v>2828</v>
      </c>
      <c r="J988" s="1" t="s">
        <v>2828</v>
      </c>
      <c r="K988" s="1" t="n">
        <f aca="false">IF(Search!$D$5="",0,IF(AND(OR(Search!$N$5="",ISNUMBER(SEARCH(Search!$N$5,J988))),OR(Search!$N$6="",ISNUMBER(SEARCH(Search!$N$6,J988))),OR(Search!$N$7="",ISNUMBER(SEARCH(Search!$N$7,J988))),OR(Search!$N$8="",ISNUMBER(SEARCH(Search!$N$8,J988)))),1,0))</f>
        <v>0</v>
      </c>
      <c r="L988" s="1" t="n">
        <f aca="false">L987+K988</f>
        <v>0</v>
      </c>
    </row>
    <row r="989" customFormat="false" ht="15" hidden="false" customHeight="true" outlineLevel="0" collapsed="false">
      <c r="A989" s="1" t="s">
        <v>291</v>
      </c>
      <c r="B989" s="1" t="s">
        <v>1221</v>
      </c>
      <c r="C989" s="1" t="n">
        <v>35</v>
      </c>
      <c r="E989" s="1" t="s">
        <v>1279</v>
      </c>
      <c r="J989" s="1" t="s">
        <v>1279</v>
      </c>
      <c r="K989" s="1" t="n">
        <f aca="false">IF(Search!$D$5="",0,IF(AND(OR(Search!$N$5="",ISNUMBER(SEARCH(Search!$N$5,J989))),OR(Search!$N$6="",ISNUMBER(SEARCH(Search!$N$6,J989))),OR(Search!$N$7="",ISNUMBER(SEARCH(Search!$N$7,J989))),OR(Search!$N$8="",ISNUMBER(SEARCH(Search!$N$8,J989)))),1,0))</f>
        <v>0</v>
      </c>
      <c r="L989" s="1" t="n">
        <f aca="false">L988+K989</f>
        <v>0</v>
      </c>
    </row>
    <row r="990" customFormat="false" ht="16.5" hidden="false" customHeight="true" outlineLevel="0" collapsed="false">
      <c r="A990" s="1" t="s">
        <v>294</v>
      </c>
      <c r="B990" s="1" t="s">
        <v>1221</v>
      </c>
      <c r="C990" s="1" t="n">
        <v>2</v>
      </c>
      <c r="E990" s="1" t="s">
        <v>2829</v>
      </c>
      <c r="J990" s="1" t="s">
        <v>2829</v>
      </c>
      <c r="K990" s="1" t="n">
        <f aca="false">IF(Search!$D$5="",0,IF(AND(OR(Search!$N$5="",ISNUMBER(SEARCH(Search!$N$5,J990))),OR(Search!$N$6="",ISNUMBER(SEARCH(Search!$N$6,J990))),OR(Search!$N$7="",ISNUMBER(SEARCH(Search!$N$7,J990))),OR(Search!$N$8="",ISNUMBER(SEARCH(Search!$N$8,J990)))),1,0))</f>
        <v>0</v>
      </c>
      <c r="L990" s="1" t="n">
        <f aca="false">L989+K990</f>
        <v>0</v>
      </c>
    </row>
    <row r="991" customFormat="false" ht="15" hidden="false" customHeight="true" outlineLevel="0" collapsed="false">
      <c r="A991" s="1" t="s">
        <v>294</v>
      </c>
      <c r="B991" s="1" t="s">
        <v>1221</v>
      </c>
      <c r="C991" s="1" t="n">
        <v>3</v>
      </c>
      <c r="E991" s="1" t="s">
        <v>2830</v>
      </c>
      <c r="J991" s="1" t="s">
        <v>2830</v>
      </c>
      <c r="K991" s="1" t="n">
        <f aca="false">IF(Search!$D$5="",0,IF(AND(OR(Search!$N$5="",ISNUMBER(SEARCH(Search!$N$5,J991))),OR(Search!$N$6="",ISNUMBER(SEARCH(Search!$N$6,J991))),OR(Search!$N$7="",ISNUMBER(SEARCH(Search!$N$7,J991))),OR(Search!$N$8="",ISNUMBER(SEARCH(Search!$N$8,J991)))),1,0))</f>
        <v>0</v>
      </c>
      <c r="L991" s="1" t="n">
        <f aca="false">L990+K991</f>
        <v>0</v>
      </c>
    </row>
    <row r="992" customFormat="false" ht="15" hidden="false" customHeight="true" outlineLevel="0" collapsed="false">
      <c r="A992" s="1" t="s">
        <v>294</v>
      </c>
      <c r="B992" s="1" t="s">
        <v>1221</v>
      </c>
      <c r="C992" s="1" t="n">
        <v>5</v>
      </c>
      <c r="E992" s="1" t="s">
        <v>2831</v>
      </c>
      <c r="J992" s="1" t="s">
        <v>2831</v>
      </c>
      <c r="K992" s="1" t="n">
        <f aca="false">IF(Search!$D$5="",0,IF(AND(OR(Search!$N$5="",ISNUMBER(SEARCH(Search!$N$5,J992))),OR(Search!$N$6="",ISNUMBER(SEARCH(Search!$N$6,J992))),OR(Search!$N$7="",ISNUMBER(SEARCH(Search!$N$7,J992))),OR(Search!$N$8="",ISNUMBER(SEARCH(Search!$N$8,J992)))),1,0))</f>
        <v>0</v>
      </c>
      <c r="L992" s="1" t="n">
        <f aca="false">L991+K992</f>
        <v>0</v>
      </c>
    </row>
    <row r="993" customFormat="false" ht="108.75" hidden="false" customHeight="true" outlineLevel="0" collapsed="false">
      <c r="A993" s="1" t="s">
        <v>294</v>
      </c>
      <c r="B993" s="1" t="s">
        <v>1221</v>
      </c>
      <c r="C993" s="1" t="n">
        <v>6</v>
      </c>
      <c r="E993" s="46" t="s">
        <v>2832</v>
      </c>
      <c r="F993" s="46" t="s">
        <v>2833</v>
      </c>
      <c r="G993" s="46" t="s">
        <v>2834</v>
      </c>
      <c r="H993" s="46" t="s">
        <v>2835</v>
      </c>
      <c r="I993" s="46" t="s">
        <v>2836</v>
      </c>
      <c r="J993" s="46" t="s">
        <v>2837</v>
      </c>
      <c r="K993" s="1" t="n">
        <f aca="false">IF(Search!$D$5="",0,IF(AND(OR(Search!$N$5="",ISNUMBER(SEARCH(Search!$N$5,J993))),OR(Search!$N$6="",ISNUMBER(SEARCH(Search!$N$6,J993))),OR(Search!$N$7="",ISNUMBER(SEARCH(Search!$N$7,J993))),OR(Search!$N$8="",ISNUMBER(SEARCH(Search!$N$8,J993)))),1,0))</f>
        <v>0</v>
      </c>
      <c r="L993" s="1" t="n">
        <f aca="false">L992+K993</f>
        <v>0</v>
      </c>
    </row>
    <row r="994" customFormat="false" ht="15" hidden="false" customHeight="true" outlineLevel="0" collapsed="false">
      <c r="A994" s="1" t="s">
        <v>294</v>
      </c>
      <c r="B994" s="1" t="s">
        <v>1221</v>
      </c>
      <c r="C994" s="1" t="n">
        <v>7</v>
      </c>
      <c r="E994" s="1" t="s">
        <v>2838</v>
      </c>
      <c r="F994" s="1" t="s">
        <v>2839</v>
      </c>
      <c r="G994" s="1" t="s">
        <v>2840</v>
      </c>
      <c r="H994" s="1" t="s">
        <v>2841</v>
      </c>
      <c r="I994" s="1" t="s">
        <v>2842</v>
      </c>
      <c r="J994" s="1" t="s">
        <v>2843</v>
      </c>
      <c r="K994" s="1" t="n">
        <f aca="false">IF(Search!$D$5="",0,IF(AND(OR(Search!$N$5="",ISNUMBER(SEARCH(Search!$N$5,J994))),OR(Search!$N$6="",ISNUMBER(SEARCH(Search!$N$6,J994))),OR(Search!$N$7="",ISNUMBER(SEARCH(Search!$N$7,J994))),OR(Search!$N$8="",ISNUMBER(SEARCH(Search!$N$8,J994)))),1,0))</f>
        <v>0</v>
      </c>
      <c r="L994" s="1" t="n">
        <f aca="false">L993+K994</f>
        <v>0</v>
      </c>
    </row>
    <row r="995" customFormat="false" ht="15" hidden="false" customHeight="true" outlineLevel="0" collapsed="false">
      <c r="A995" s="1" t="s">
        <v>294</v>
      </c>
      <c r="B995" s="1" t="s">
        <v>1221</v>
      </c>
      <c r="C995" s="1" t="n">
        <v>8</v>
      </c>
      <c r="E995" s="1" t="s">
        <v>2844</v>
      </c>
      <c r="F995" s="1" t="s">
        <v>2845</v>
      </c>
      <c r="G995" s="1" t="s">
        <v>2846</v>
      </c>
      <c r="H995" s="1" t="s">
        <v>2847</v>
      </c>
      <c r="I995" s="1" t="s">
        <v>2848</v>
      </c>
      <c r="J995" s="1" t="s">
        <v>2849</v>
      </c>
      <c r="K995" s="1" t="n">
        <f aca="false">IF(Search!$D$5="",0,IF(AND(OR(Search!$N$5="",ISNUMBER(SEARCH(Search!$N$5,J995))),OR(Search!$N$6="",ISNUMBER(SEARCH(Search!$N$6,J995))),OR(Search!$N$7="",ISNUMBER(SEARCH(Search!$N$7,J995))),OR(Search!$N$8="",ISNUMBER(SEARCH(Search!$N$8,J995)))),1,0))</f>
        <v>0</v>
      </c>
      <c r="L995" s="1" t="n">
        <f aca="false">L994+K995</f>
        <v>0</v>
      </c>
    </row>
    <row r="996" customFormat="false" ht="15" hidden="false" customHeight="true" outlineLevel="0" collapsed="false">
      <c r="A996" s="1" t="s">
        <v>294</v>
      </c>
      <c r="B996" s="1" t="s">
        <v>1221</v>
      </c>
      <c r="C996" s="1" t="n">
        <v>9</v>
      </c>
      <c r="E996" s="1" t="s">
        <v>2850</v>
      </c>
      <c r="F996" s="1" t="s">
        <v>2851</v>
      </c>
      <c r="G996" s="1" t="s">
        <v>2852</v>
      </c>
      <c r="H996" s="1" t="s">
        <v>2853</v>
      </c>
      <c r="I996" s="1" t="s">
        <v>780</v>
      </c>
      <c r="J996" s="1" t="s">
        <v>2854</v>
      </c>
      <c r="K996" s="1" t="n">
        <f aca="false">IF(Search!$D$5="",0,IF(AND(OR(Search!$N$5="",ISNUMBER(SEARCH(Search!$N$5,J996))),OR(Search!$N$6="",ISNUMBER(SEARCH(Search!$N$6,J996))),OR(Search!$N$7="",ISNUMBER(SEARCH(Search!$N$7,J996))),OR(Search!$N$8="",ISNUMBER(SEARCH(Search!$N$8,J996)))),1,0))</f>
        <v>0</v>
      </c>
      <c r="L996" s="1" t="n">
        <f aca="false">L995+K996</f>
        <v>0</v>
      </c>
    </row>
    <row r="997" customFormat="false" ht="15" hidden="false" customHeight="true" outlineLevel="0" collapsed="false">
      <c r="A997" s="1" t="s">
        <v>294</v>
      </c>
      <c r="B997" s="1" t="s">
        <v>1221</v>
      </c>
      <c r="C997" s="1" t="n">
        <v>10</v>
      </c>
      <c r="E997" s="1" t="s">
        <v>1862</v>
      </c>
      <c r="F997" s="1" t="s">
        <v>2855</v>
      </c>
      <c r="G997" s="1" t="s">
        <v>2856</v>
      </c>
      <c r="H997" s="1" t="s">
        <v>2857</v>
      </c>
      <c r="I997" s="1" t="s">
        <v>2858</v>
      </c>
      <c r="J997" s="1" t="s">
        <v>2859</v>
      </c>
      <c r="K997" s="1" t="n">
        <f aca="false">IF(Search!$D$5="",0,IF(AND(OR(Search!$N$5="",ISNUMBER(SEARCH(Search!$N$5,J997))),OR(Search!$N$6="",ISNUMBER(SEARCH(Search!$N$6,J997))),OR(Search!$N$7="",ISNUMBER(SEARCH(Search!$N$7,J997))),OR(Search!$N$8="",ISNUMBER(SEARCH(Search!$N$8,J997)))),1,0))</f>
        <v>0</v>
      </c>
      <c r="L997" s="1" t="n">
        <f aca="false">L996+K997</f>
        <v>0</v>
      </c>
    </row>
    <row r="998" customFormat="false" ht="15" hidden="false" customHeight="true" outlineLevel="0" collapsed="false">
      <c r="A998" s="1" t="s">
        <v>294</v>
      </c>
      <c r="B998" s="1" t="s">
        <v>1221</v>
      </c>
      <c r="C998" s="1" t="n">
        <v>11</v>
      </c>
      <c r="E998" s="1" t="s">
        <v>2860</v>
      </c>
      <c r="F998" s="1" t="s">
        <v>2861</v>
      </c>
      <c r="G998" s="1" t="s">
        <v>2862</v>
      </c>
      <c r="H998" s="1" t="s">
        <v>2311</v>
      </c>
      <c r="I998" s="1" t="s">
        <v>2848</v>
      </c>
      <c r="J998" s="1" t="s">
        <v>2863</v>
      </c>
      <c r="K998" s="1" t="n">
        <f aca="false">IF(Search!$D$5="",0,IF(AND(OR(Search!$N$5="",ISNUMBER(SEARCH(Search!$N$5,J998))),OR(Search!$N$6="",ISNUMBER(SEARCH(Search!$N$6,J998))),OR(Search!$N$7="",ISNUMBER(SEARCH(Search!$N$7,J998))),OR(Search!$N$8="",ISNUMBER(SEARCH(Search!$N$8,J998)))),1,0))</f>
        <v>0</v>
      </c>
      <c r="L998" s="1" t="n">
        <f aca="false">L997+K998</f>
        <v>0</v>
      </c>
    </row>
    <row r="999" customFormat="false" ht="15" hidden="false" customHeight="true" outlineLevel="0" collapsed="false">
      <c r="A999" s="1" t="s">
        <v>294</v>
      </c>
      <c r="B999" s="1" t="s">
        <v>1221</v>
      </c>
      <c r="C999" s="1" t="n">
        <v>12</v>
      </c>
      <c r="E999" s="1" t="s">
        <v>2776</v>
      </c>
      <c r="F999" s="1" t="s">
        <v>2864</v>
      </c>
      <c r="G999" s="1" t="s">
        <v>2865</v>
      </c>
      <c r="H999" s="1" t="s">
        <v>2866</v>
      </c>
      <c r="I999" s="1" t="s">
        <v>2786</v>
      </c>
      <c r="J999" s="1" t="s">
        <v>2867</v>
      </c>
      <c r="K999" s="1" t="n">
        <f aca="false">IF(Search!$D$5="",0,IF(AND(OR(Search!$N$5="",ISNUMBER(SEARCH(Search!$N$5,J999))),OR(Search!$N$6="",ISNUMBER(SEARCH(Search!$N$6,J999))),OR(Search!$N$7="",ISNUMBER(SEARCH(Search!$N$7,J999))),OR(Search!$N$8="",ISNUMBER(SEARCH(Search!$N$8,J999)))),1,0))</f>
        <v>0</v>
      </c>
      <c r="L999" s="1" t="n">
        <f aca="false">L998+K999</f>
        <v>0</v>
      </c>
    </row>
    <row r="1000" customFormat="false" ht="15" hidden="false" customHeight="true" outlineLevel="0" collapsed="false">
      <c r="A1000" s="1" t="s">
        <v>294</v>
      </c>
      <c r="B1000" s="1" t="s">
        <v>1221</v>
      </c>
      <c r="C1000" s="1" t="n">
        <v>13</v>
      </c>
      <c r="E1000" s="1" t="s">
        <v>2543</v>
      </c>
      <c r="F1000" s="1" t="s">
        <v>2868</v>
      </c>
      <c r="G1000" s="1" t="s">
        <v>2869</v>
      </c>
      <c r="H1000" s="1" t="s">
        <v>2762</v>
      </c>
      <c r="I1000" s="1" t="s">
        <v>2870</v>
      </c>
      <c r="J1000" s="1" t="s">
        <v>2871</v>
      </c>
      <c r="K1000" s="1" t="n">
        <f aca="false">IF(Search!$D$5="",0,IF(AND(OR(Search!$N$5="",ISNUMBER(SEARCH(Search!$N$5,J1000))),OR(Search!$N$6="",ISNUMBER(SEARCH(Search!$N$6,J1000))),OR(Search!$N$7="",ISNUMBER(SEARCH(Search!$N$7,J1000))),OR(Search!$N$8="",ISNUMBER(SEARCH(Search!$N$8,J1000)))),1,0))</f>
        <v>0</v>
      </c>
      <c r="L1000" s="1" t="n">
        <f aca="false">L999+K1000</f>
        <v>0</v>
      </c>
    </row>
    <row r="1001" customFormat="false" ht="15" hidden="false" customHeight="true" outlineLevel="0" collapsed="false">
      <c r="A1001" s="1" t="s">
        <v>294</v>
      </c>
      <c r="B1001" s="1" t="s">
        <v>1221</v>
      </c>
      <c r="C1001" s="1" t="n">
        <v>14</v>
      </c>
      <c r="E1001" s="1" t="s">
        <v>1882</v>
      </c>
      <c r="F1001" s="1" t="s">
        <v>2872</v>
      </c>
      <c r="G1001" s="1" t="s">
        <v>2873</v>
      </c>
      <c r="H1001" s="1" t="s">
        <v>2874</v>
      </c>
      <c r="I1001" s="1" t="s">
        <v>2848</v>
      </c>
      <c r="J1001" s="1" t="s">
        <v>2875</v>
      </c>
      <c r="K1001" s="1" t="n">
        <f aca="false">IF(Search!$D$5="",0,IF(AND(OR(Search!$N$5="",ISNUMBER(SEARCH(Search!$N$5,J1001))),OR(Search!$N$6="",ISNUMBER(SEARCH(Search!$N$6,J1001))),OR(Search!$N$7="",ISNUMBER(SEARCH(Search!$N$7,J1001))),OR(Search!$N$8="",ISNUMBER(SEARCH(Search!$N$8,J1001)))),1,0))</f>
        <v>0</v>
      </c>
      <c r="L1001" s="1" t="n">
        <f aca="false">L1000+K1001</f>
        <v>0</v>
      </c>
    </row>
    <row r="1002" customFormat="false" ht="15" hidden="false" customHeight="true" outlineLevel="0" collapsed="false">
      <c r="A1002" s="1" t="s">
        <v>294</v>
      </c>
      <c r="B1002" s="1" t="s">
        <v>1221</v>
      </c>
      <c r="C1002" s="1" t="n">
        <v>15</v>
      </c>
      <c r="E1002" s="1" t="s">
        <v>1409</v>
      </c>
      <c r="F1002" s="1" t="s">
        <v>2876</v>
      </c>
      <c r="G1002" s="1" t="s">
        <v>2877</v>
      </c>
      <c r="H1002" s="1" t="s">
        <v>1749</v>
      </c>
      <c r="I1002" s="1" t="s">
        <v>2878</v>
      </c>
      <c r="J1002" s="1" t="s">
        <v>2879</v>
      </c>
      <c r="K1002" s="1" t="n">
        <f aca="false">IF(Search!$D$5="",0,IF(AND(OR(Search!$N$5="",ISNUMBER(SEARCH(Search!$N$5,J1002))),OR(Search!$N$6="",ISNUMBER(SEARCH(Search!$N$6,J1002))),OR(Search!$N$7="",ISNUMBER(SEARCH(Search!$N$7,J1002))),OR(Search!$N$8="",ISNUMBER(SEARCH(Search!$N$8,J1002)))),1,0))</f>
        <v>0</v>
      </c>
      <c r="L1002" s="1" t="n">
        <f aca="false">L1001+K1002</f>
        <v>0</v>
      </c>
    </row>
    <row r="1003" customFormat="false" ht="15" hidden="false" customHeight="true" outlineLevel="0" collapsed="false">
      <c r="A1003" s="1" t="s">
        <v>294</v>
      </c>
      <c r="B1003" s="1" t="s">
        <v>1221</v>
      </c>
      <c r="C1003" s="1" t="n">
        <v>16</v>
      </c>
      <c r="E1003" s="1" t="s">
        <v>1812</v>
      </c>
      <c r="F1003" s="1" t="s">
        <v>2880</v>
      </c>
      <c r="G1003" s="1" t="s">
        <v>2881</v>
      </c>
      <c r="H1003" s="1" t="s">
        <v>2299</v>
      </c>
      <c r="I1003" s="1" t="s">
        <v>2882</v>
      </c>
      <c r="J1003" s="1" t="s">
        <v>2883</v>
      </c>
      <c r="K1003" s="1" t="n">
        <f aca="false">IF(Search!$D$5="",0,IF(AND(OR(Search!$N$5="",ISNUMBER(SEARCH(Search!$N$5,J1003))),OR(Search!$N$6="",ISNUMBER(SEARCH(Search!$N$6,J1003))),OR(Search!$N$7="",ISNUMBER(SEARCH(Search!$N$7,J1003))),OR(Search!$N$8="",ISNUMBER(SEARCH(Search!$N$8,J1003)))),1,0))</f>
        <v>0</v>
      </c>
      <c r="L1003" s="1" t="n">
        <f aca="false">L1002+K1003</f>
        <v>0</v>
      </c>
    </row>
    <row r="1004" customFormat="false" ht="15" hidden="false" customHeight="true" outlineLevel="0" collapsed="false">
      <c r="A1004" s="1" t="s">
        <v>294</v>
      </c>
      <c r="B1004" s="1" t="s">
        <v>1221</v>
      </c>
      <c r="C1004" s="1" t="n">
        <v>17</v>
      </c>
      <c r="E1004" s="1" t="s">
        <v>2682</v>
      </c>
      <c r="F1004" s="1" t="s">
        <v>2884</v>
      </c>
      <c r="G1004" s="1" t="s">
        <v>2885</v>
      </c>
      <c r="H1004" s="1" t="s">
        <v>2290</v>
      </c>
      <c r="I1004" s="1" t="s">
        <v>2886</v>
      </c>
      <c r="J1004" s="1" t="s">
        <v>2887</v>
      </c>
      <c r="K1004" s="1" t="n">
        <f aca="false">IF(Search!$D$5="",0,IF(AND(OR(Search!$N$5="",ISNUMBER(SEARCH(Search!$N$5,J1004))),OR(Search!$N$6="",ISNUMBER(SEARCH(Search!$N$6,J1004))),OR(Search!$N$7="",ISNUMBER(SEARCH(Search!$N$7,J1004))),OR(Search!$N$8="",ISNUMBER(SEARCH(Search!$N$8,J1004)))),1,0))</f>
        <v>0</v>
      </c>
      <c r="L1004" s="1" t="n">
        <f aca="false">L1003+K1004</f>
        <v>0</v>
      </c>
    </row>
    <row r="1005" customFormat="false" ht="15" hidden="false" customHeight="true" outlineLevel="0" collapsed="false">
      <c r="A1005" s="1" t="s">
        <v>294</v>
      </c>
      <c r="B1005" s="1" t="s">
        <v>1221</v>
      </c>
      <c r="C1005" s="1" t="n">
        <v>18</v>
      </c>
      <c r="E1005" s="1" t="s">
        <v>2888</v>
      </c>
      <c r="F1005" s="1" t="s">
        <v>1562</v>
      </c>
      <c r="G1005" s="1" t="s">
        <v>2889</v>
      </c>
      <c r="H1005" s="1" t="s">
        <v>2890</v>
      </c>
      <c r="I1005" s="1" t="s">
        <v>2848</v>
      </c>
      <c r="J1005" s="1" t="s">
        <v>2891</v>
      </c>
      <c r="K1005" s="1" t="n">
        <f aca="false">IF(Search!$D$5="",0,IF(AND(OR(Search!$N$5="",ISNUMBER(SEARCH(Search!$N$5,J1005))),OR(Search!$N$6="",ISNUMBER(SEARCH(Search!$N$6,J1005))),OR(Search!$N$7="",ISNUMBER(SEARCH(Search!$N$7,J1005))),OR(Search!$N$8="",ISNUMBER(SEARCH(Search!$N$8,J1005)))),1,0))</f>
        <v>0</v>
      </c>
      <c r="L1005" s="1" t="n">
        <f aca="false">L1004+K1005</f>
        <v>0</v>
      </c>
    </row>
    <row r="1006" customFormat="false" ht="15" hidden="false" customHeight="true" outlineLevel="0" collapsed="false">
      <c r="A1006" s="1" t="s">
        <v>294</v>
      </c>
      <c r="B1006" s="1" t="s">
        <v>1221</v>
      </c>
      <c r="C1006" s="1" t="n">
        <v>19</v>
      </c>
      <c r="E1006" s="1" t="s">
        <v>987</v>
      </c>
      <c r="F1006" s="1" t="s">
        <v>2892</v>
      </c>
      <c r="G1006" s="1" t="s">
        <v>2893</v>
      </c>
      <c r="H1006" s="1" t="s">
        <v>2894</v>
      </c>
      <c r="I1006" s="1" t="s">
        <v>2895</v>
      </c>
      <c r="J1006" s="1" t="s">
        <v>2896</v>
      </c>
      <c r="K1006" s="1" t="n">
        <f aca="false">IF(Search!$D$5="",0,IF(AND(OR(Search!$N$5="",ISNUMBER(SEARCH(Search!$N$5,J1006))),OR(Search!$N$6="",ISNUMBER(SEARCH(Search!$N$6,J1006))),OR(Search!$N$7="",ISNUMBER(SEARCH(Search!$N$7,J1006))),OR(Search!$N$8="",ISNUMBER(SEARCH(Search!$N$8,J1006)))),1,0))</f>
        <v>0</v>
      </c>
      <c r="L1006" s="1" t="n">
        <f aca="false">L1005+K1006</f>
        <v>0</v>
      </c>
    </row>
    <row r="1007" customFormat="false" ht="15" hidden="false" customHeight="true" outlineLevel="0" collapsed="false">
      <c r="A1007" s="1" t="s">
        <v>294</v>
      </c>
      <c r="B1007" s="1" t="s">
        <v>1221</v>
      </c>
      <c r="C1007" s="1" t="n">
        <v>20</v>
      </c>
      <c r="E1007" s="1" t="s">
        <v>2358</v>
      </c>
      <c r="F1007" s="1" t="s">
        <v>2897</v>
      </c>
      <c r="G1007" s="1" t="s">
        <v>2898</v>
      </c>
      <c r="H1007" s="1" t="s">
        <v>1741</v>
      </c>
      <c r="I1007" s="1" t="s">
        <v>2899</v>
      </c>
      <c r="J1007" s="1" t="s">
        <v>2900</v>
      </c>
      <c r="K1007" s="1" t="n">
        <f aca="false">IF(Search!$D$5="",0,IF(AND(OR(Search!$N$5="",ISNUMBER(SEARCH(Search!$N$5,J1007))),OR(Search!$N$6="",ISNUMBER(SEARCH(Search!$N$6,J1007))),OR(Search!$N$7="",ISNUMBER(SEARCH(Search!$N$7,J1007))),OR(Search!$N$8="",ISNUMBER(SEARCH(Search!$N$8,J1007)))),1,0))</f>
        <v>0</v>
      </c>
      <c r="L1007" s="1" t="n">
        <f aca="false">L1006+K1007</f>
        <v>0</v>
      </c>
    </row>
    <row r="1008" customFormat="false" ht="15" hidden="false" customHeight="true" outlineLevel="0" collapsed="false">
      <c r="A1008" s="1" t="s">
        <v>294</v>
      </c>
      <c r="B1008" s="1" t="s">
        <v>1221</v>
      </c>
      <c r="C1008" s="1" t="n">
        <v>21</v>
      </c>
      <c r="E1008" s="1" t="s">
        <v>1830</v>
      </c>
      <c r="F1008" s="1" t="s">
        <v>2901</v>
      </c>
      <c r="G1008" s="1" t="s">
        <v>2902</v>
      </c>
      <c r="H1008" s="1" t="s">
        <v>2025</v>
      </c>
      <c r="I1008" s="1" t="s">
        <v>2903</v>
      </c>
      <c r="J1008" s="1" t="s">
        <v>2904</v>
      </c>
      <c r="K1008" s="1" t="n">
        <f aca="false">IF(Search!$D$5="",0,IF(AND(OR(Search!$N$5="",ISNUMBER(SEARCH(Search!$N$5,J1008))),OR(Search!$N$6="",ISNUMBER(SEARCH(Search!$N$6,J1008))),OR(Search!$N$7="",ISNUMBER(SEARCH(Search!$N$7,J1008))),OR(Search!$N$8="",ISNUMBER(SEARCH(Search!$N$8,J1008)))),1,0))</f>
        <v>0</v>
      </c>
      <c r="L1008" s="1" t="n">
        <f aca="false">L1007+K1008</f>
        <v>0</v>
      </c>
    </row>
    <row r="1009" customFormat="false" ht="15" hidden="false" customHeight="true" outlineLevel="0" collapsed="false">
      <c r="A1009" s="1" t="s">
        <v>294</v>
      </c>
      <c r="B1009" s="1" t="s">
        <v>1221</v>
      </c>
      <c r="C1009" s="1" t="n">
        <v>22</v>
      </c>
      <c r="E1009" s="1" t="s">
        <v>2905</v>
      </c>
      <c r="F1009" s="1" t="s">
        <v>2906</v>
      </c>
      <c r="G1009" s="1" t="s">
        <v>2907</v>
      </c>
      <c r="H1009" s="1" t="s">
        <v>1975</v>
      </c>
      <c r="I1009" s="1" t="s">
        <v>2908</v>
      </c>
      <c r="J1009" s="1" t="s">
        <v>2909</v>
      </c>
      <c r="K1009" s="1" t="n">
        <f aca="false">IF(Search!$D$5="",0,IF(AND(OR(Search!$N$5="",ISNUMBER(SEARCH(Search!$N$5,J1009))),OR(Search!$N$6="",ISNUMBER(SEARCH(Search!$N$6,J1009))),OR(Search!$N$7="",ISNUMBER(SEARCH(Search!$N$7,J1009))),OR(Search!$N$8="",ISNUMBER(SEARCH(Search!$N$8,J1009)))),1,0))</f>
        <v>0</v>
      </c>
      <c r="L1009" s="1" t="n">
        <f aca="false">L1008+K1009</f>
        <v>0</v>
      </c>
    </row>
    <row r="1010" customFormat="false" ht="15" hidden="false" customHeight="true" outlineLevel="0" collapsed="false">
      <c r="A1010" s="1" t="s">
        <v>294</v>
      </c>
      <c r="B1010" s="1" t="s">
        <v>1221</v>
      </c>
      <c r="C1010" s="1" t="n">
        <v>23</v>
      </c>
      <c r="E1010" s="1" t="s">
        <v>2377</v>
      </c>
      <c r="F1010" s="1" t="s">
        <v>2910</v>
      </c>
      <c r="G1010" s="1" t="s">
        <v>2911</v>
      </c>
      <c r="H1010" s="1" t="s">
        <v>2912</v>
      </c>
      <c r="I1010" s="1" t="s">
        <v>621</v>
      </c>
      <c r="J1010" s="1" t="s">
        <v>2913</v>
      </c>
      <c r="K1010" s="1" t="n">
        <f aca="false">IF(Search!$D$5="",0,IF(AND(OR(Search!$N$5="",ISNUMBER(SEARCH(Search!$N$5,J1010))),OR(Search!$N$6="",ISNUMBER(SEARCH(Search!$N$6,J1010))),OR(Search!$N$7="",ISNUMBER(SEARCH(Search!$N$7,J1010))),OR(Search!$N$8="",ISNUMBER(SEARCH(Search!$N$8,J1010)))),1,0))</f>
        <v>0</v>
      </c>
      <c r="L1010" s="1" t="n">
        <f aca="false">L1009+K1010</f>
        <v>0</v>
      </c>
    </row>
    <row r="1011" customFormat="false" ht="15" hidden="false" customHeight="true" outlineLevel="0" collapsed="false">
      <c r="A1011" s="1" t="s">
        <v>294</v>
      </c>
      <c r="B1011" s="1" t="s">
        <v>1221</v>
      </c>
      <c r="C1011" s="1" t="n">
        <v>24</v>
      </c>
      <c r="E1011" s="1" t="s">
        <v>1834</v>
      </c>
      <c r="F1011" s="1" t="s">
        <v>2914</v>
      </c>
      <c r="G1011" s="1" t="s">
        <v>2915</v>
      </c>
      <c r="H1011" s="1" t="s">
        <v>2916</v>
      </c>
      <c r="I1011" s="1" t="s">
        <v>2917</v>
      </c>
      <c r="J1011" s="1" t="s">
        <v>2918</v>
      </c>
      <c r="K1011" s="1" t="n">
        <f aca="false">IF(Search!$D$5="",0,IF(AND(OR(Search!$N$5="",ISNUMBER(SEARCH(Search!$N$5,J1011))),OR(Search!$N$6="",ISNUMBER(SEARCH(Search!$N$6,J1011))),OR(Search!$N$7="",ISNUMBER(SEARCH(Search!$N$7,J1011))),OR(Search!$N$8="",ISNUMBER(SEARCH(Search!$N$8,J1011)))),1,0))</f>
        <v>0</v>
      </c>
      <c r="L1011" s="1" t="n">
        <f aca="false">L1010+K1011</f>
        <v>0</v>
      </c>
    </row>
    <row r="1012" customFormat="false" ht="15" hidden="false" customHeight="true" outlineLevel="0" collapsed="false">
      <c r="A1012" s="1" t="s">
        <v>294</v>
      </c>
      <c r="B1012" s="1" t="s">
        <v>1221</v>
      </c>
      <c r="C1012" s="1" t="n">
        <v>25</v>
      </c>
      <c r="E1012" s="1" t="s">
        <v>2732</v>
      </c>
      <c r="F1012" s="1" t="s">
        <v>2919</v>
      </c>
      <c r="G1012" s="1" t="s">
        <v>2920</v>
      </c>
      <c r="H1012" s="1" t="s">
        <v>2478</v>
      </c>
      <c r="I1012" s="1" t="s">
        <v>2921</v>
      </c>
      <c r="J1012" s="1" t="s">
        <v>2922</v>
      </c>
      <c r="K1012" s="1" t="n">
        <f aca="false">IF(Search!$D$5="",0,IF(AND(OR(Search!$N$5="",ISNUMBER(SEARCH(Search!$N$5,J1012))),OR(Search!$N$6="",ISNUMBER(SEARCH(Search!$N$6,J1012))),OR(Search!$N$7="",ISNUMBER(SEARCH(Search!$N$7,J1012))),OR(Search!$N$8="",ISNUMBER(SEARCH(Search!$N$8,J1012)))),1,0))</f>
        <v>0</v>
      </c>
      <c r="L1012" s="1" t="n">
        <f aca="false">L1011+K1012</f>
        <v>0</v>
      </c>
    </row>
    <row r="1013" customFormat="false" ht="15" hidden="false" customHeight="true" outlineLevel="0" collapsed="false">
      <c r="A1013" s="1" t="s">
        <v>294</v>
      </c>
      <c r="B1013" s="1" t="s">
        <v>1221</v>
      </c>
      <c r="C1013" s="1" t="n">
        <v>26</v>
      </c>
      <c r="E1013" s="1" t="s">
        <v>1838</v>
      </c>
      <c r="F1013" s="1" t="s">
        <v>2923</v>
      </c>
      <c r="G1013" s="1" t="s">
        <v>2924</v>
      </c>
      <c r="H1013" s="1" t="s">
        <v>2925</v>
      </c>
      <c r="I1013" s="1" t="s">
        <v>2926</v>
      </c>
      <c r="J1013" s="1" t="s">
        <v>2927</v>
      </c>
      <c r="K1013" s="1" t="n">
        <f aca="false">IF(Search!$D$5="",0,IF(AND(OR(Search!$N$5="",ISNUMBER(SEARCH(Search!$N$5,J1013))),OR(Search!$N$6="",ISNUMBER(SEARCH(Search!$N$6,J1013))),OR(Search!$N$7="",ISNUMBER(SEARCH(Search!$N$7,J1013))),OR(Search!$N$8="",ISNUMBER(SEARCH(Search!$N$8,J1013)))),1,0))</f>
        <v>0</v>
      </c>
      <c r="L1013" s="1" t="n">
        <f aca="false">L1012+K1013</f>
        <v>0</v>
      </c>
    </row>
    <row r="1014" customFormat="false" ht="15" hidden="false" customHeight="true" outlineLevel="0" collapsed="false">
      <c r="A1014" s="1" t="s">
        <v>294</v>
      </c>
      <c r="B1014" s="1" t="s">
        <v>1221</v>
      </c>
      <c r="C1014" s="1" t="n">
        <v>27</v>
      </c>
      <c r="E1014" s="1" t="s">
        <v>1847</v>
      </c>
      <c r="F1014" s="1" t="s">
        <v>2928</v>
      </c>
      <c r="G1014" s="1" t="s">
        <v>2929</v>
      </c>
      <c r="H1014" s="1" t="s">
        <v>2930</v>
      </c>
      <c r="I1014" s="1" t="s">
        <v>457</v>
      </c>
      <c r="J1014" s="1" t="s">
        <v>2931</v>
      </c>
      <c r="K1014" s="1" t="n">
        <f aca="false">IF(Search!$D$5="",0,IF(AND(OR(Search!$N$5="",ISNUMBER(SEARCH(Search!$N$5,J1014))),OR(Search!$N$6="",ISNUMBER(SEARCH(Search!$N$6,J1014))),OR(Search!$N$7="",ISNUMBER(SEARCH(Search!$N$7,J1014))),OR(Search!$N$8="",ISNUMBER(SEARCH(Search!$N$8,J1014)))),1,0))</f>
        <v>0</v>
      </c>
      <c r="L1014" s="1" t="n">
        <f aca="false">L1013+K1014</f>
        <v>0</v>
      </c>
    </row>
    <row r="1015" customFormat="false" ht="15" hidden="false" customHeight="true" outlineLevel="0" collapsed="false">
      <c r="A1015" s="1" t="s">
        <v>294</v>
      </c>
      <c r="B1015" s="1" t="s">
        <v>1221</v>
      </c>
      <c r="C1015" s="1" t="n">
        <v>28</v>
      </c>
      <c r="E1015" s="1" t="s">
        <v>1904</v>
      </c>
      <c r="F1015" s="1" t="s">
        <v>2932</v>
      </c>
      <c r="G1015" s="1" t="s">
        <v>2933</v>
      </c>
      <c r="H1015" s="1" t="s">
        <v>2934</v>
      </c>
      <c r="I1015" s="1" t="s">
        <v>2935</v>
      </c>
      <c r="J1015" s="1" t="s">
        <v>2936</v>
      </c>
      <c r="K1015" s="1" t="n">
        <f aca="false">IF(Search!$D$5="",0,IF(AND(OR(Search!$N$5="",ISNUMBER(SEARCH(Search!$N$5,J1015))),OR(Search!$N$6="",ISNUMBER(SEARCH(Search!$N$6,J1015))),OR(Search!$N$7="",ISNUMBER(SEARCH(Search!$N$7,J1015))),OR(Search!$N$8="",ISNUMBER(SEARCH(Search!$N$8,J1015)))),1,0))</f>
        <v>0</v>
      </c>
      <c r="L1015" s="1" t="n">
        <f aca="false">L1014+K1015</f>
        <v>0</v>
      </c>
    </row>
    <row r="1016" customFormat="false" ht="15" hidden="false" customHeight="true" outlineLevel="0" collapsed="false">
      <c r="A1016" s="1" t="s">
        <v>294</v>
      </c>
      <c r="B1016" s="1" t="s">
        <v>1221</v>
      </c>
      <c r="C1016" s="1" t="n">
        <v>29</v>
      </c>
      <c r="E1016" s="1" t="s">
        <v>1929</v>
      </c>
      <c r="F1016" s="1" t="s">
        <v>2937</v>
      </c>
      <c r="G1016" s="1" t="s">
        <v>2938</v>
      </c>
      <c r="H1016" s="1" t="s">
        <v>2939</v>
      </c>
      <c r="I1016" s="1" t="s">
        <v>2940</v>
      </c>
      <c r="J1016" s="1" t="s">
        <v>2941</v>
      </c>
      <c r="K1016" s="1" t="n">
        <f aca="false">IF(Search!$D$5="",0,IF(AND(OR(Search!$N$5="",ISNUMBER(SEARCH(Search!$N$5,J1016))),OR(Search!$N$6="",ISNUMBER(SEARCH(Search!$N$6,J1016))),OR(Search!$N$7="",ISNUMBER(SEARCH(Search!$N$7,J1016))),OR(Search!$N$8="",ISNUMBER(SEARCH(Search!$N$8,J1016)))),1,0))</f>
        <v>0</v>
      </c>
      <c r="L1016" s="1" t="n">
        <f aca="false">L1015+K1016</f>
        <v>0</v>
      </c>
    </row>
    <row r="1017" customFormat="false" ht="15" hidden="false" customHeight="true" outlineLevel="0" collapsed="false">
      <c r="A1017" s="1" t="s">
        <v>294</v>
      </c>
      <c r="B1017" s="1" t="s">
        <v>1221</v>
      </c>
      <c r="C1017" s="1" t="n">
        <v>30</v>
      </c>
      <c r="E1017" s="1" t="s">
        <v>1975</v>
      </c>
      <c r="F1017" s="1" t="s">
        <v>2942</v>
      </c>
      <c r="G1017" s="1" t="s">
        <v>2943</v>
      </c>
      <c r="H1017" s="1" t="s">
        <v>2905</v>
      </c>
      <c r="I1017" s="1" t="s">
        <v>2944</v>
      </c>
      <c r="J1017" s="1" t="s">
        <v>2945</v>
      </c>
      <c r="K1017" s="1" t="n">
        <f aca="false">IF(Search!$D$5="",0,IF(AND(OR(Search!$N$5="",ISNUMBER(SEARCH(Search!$N$5,J1017))),OR(Search!$N$6="",ISNUMBER(SEARCH(Search!$N$6,J1017))),OR(Search!$N$7="",ISNUMBER(SEARCH(Search!$N$7,J1017))),OR(Search!$N$8="",ISNUMBER(SEARCH(Search!$N$8,J1017)))),1,0))</f>
        <v>0</v>
      </c>
      <c r="L1017" s="1" t="n">
        <f aca="false">L1016+K1017</f>
        <v>0</v>
      </c>
    </row>
    <row r="1018" customFormat="false" ht="15" hidden="false" customHeight="true" outlineLevel="0" collapsed="false">
      <c r="A1018" s="1" t="s">
        <v>294</v>
      </c>
      <c r="B1018" s="1" t="s">
        <v>1221</v>
      </c>
      <c r="C1018" s="1" t="n">
        <v>31</v>
      </c>
      <c r="E1018" s="1" t="s">
        <v>627</v>
      </c>
      <c r="F1018" s="1" t="s">
        <v>2946</v>
      </c>
      <c r="G1018" s="1" t="s">
        <v>2947</v>
      </c>
      <c r="H1018" s="1" t="s">
        <v>2948</v>
      </c>
      <c r="I1018" s="1" t="s">
        <v>2949</v>
      </c>
      <c r="J1018" s="1" t="s">
        <v>2950</v>
      </c>
      <c r="K1018" s="1" t="n">
        <f aca="false">IF(Search!$D$5="",0,IF(AND(OR(Search!$N$5="",ISNUMBER(SEARCH(Search!$N$5,J1018))),OR(Search!$N$6="",ISNUMBER(SEARCH(Search!$N$6,J1018))),OR(Search!$N$7="",ISNUMBER(SEARCH(Search!$N$7,J1018))),OR(Search!$N$8="",ISNUMBER(SEARCH(Search!$N$8,J1018)))),1,0))</f>
        <v>0</v>
      </c>
      <c r="L1018" s="1" t="n">
        <f aca="false">L1017+K1018</f>
        <v>0</v>
      </c>
    </row>
    <row r="1019" customFormat="false" ht="15" hidden="false" customHeight="true" outlineLevel="0" collapsed="false">
      <c r="A1019" s="1" t="s">
        <v>294</v>
      </c>
      <c r="B1019" s="1" t="s">
        <v>1221</v>
      </c>
      <c r="C1019" s="1" t="n">
        <v>32</v>
      </c>
      <c r="E1019" s="1" t="s">
        <v>2061</v>
      </c>
      <c r="F1019" s="1" t="s">
        <v>2951</v>
      </c>
      <c r="G1019" s="1" t="s">
        <v>2952</v>
      </c>
      <c r="H1019" s="1" t="s">
        <v>2682</v>
      </c>
      <c r="I1019" s="1" t="s">
        <v>2953</v>
      </c>
      <c r="J1019" s="1" t="s">
        <v>2954</v>
      </c>
      <c r="K1019" s="1" t="n">
        <f aca="false">IF(Search!$D$5="",0,IF(AND(OR(Search!$N$5="",ISNUMBER(SEARCH(Search!$N$5,J1019))),OR(Search!$N$6="",ISNUMBER(SEARCH(Search!$N$6,J1019))),OR(Search!$N$7="",ISNUMBER(SEARCH(Search!$N$7,J1019))),OR(Search!$N$8="",ISNUMBER(SEARCH(Search!$N$8,J1019)))),1,0))</f>
        <v>0</v>
      </c>
      <c r="L1019" s="1" t="n">
        <f aca="false">L1018+K1019</f>
        <v>0</v>
      </c>
    </row>
    <row r="1020" customFormat="false" ht="15" hidden="false" customHeight="true" outlineLevel="0" collapsed="false">
      <c r="A1020" s="1" t="s">
        <v>294</v>
      </c>
      <c r="B1020" s="1" t="s">
        <v>1221</v>
      </c>
      <c r="C1020" s="1" t="n">
        <v>33</v>
      </c>
      <c r="E1020" s="1" t="s">
        <v>2081</v>
      </c>
      <c r="F1020" s="1" t="s">
        <v>2955</v>
      </c>
      <c r="G1020" s="1" t="s">
        <v>2956</v>
      </c>
      <c r="H1020" s="1" t="s">
        <v>1413</v>
      </c>
      <c r="I1020" s="1" t="s">
        <v>2957</v>
      </c>
      <c r="J1020" s="1" t="s">
        <v>2958</v>
      </c>
      <c r="K1020" s="1" t="n">
        <f aca="false">IF(Search!$D$5="",0,IF(AND(OR(Search!$N$5="",ISNUMBER(SEARCH(Search!$N$5,J1020))),OR(Search!$N$6="",ISNUMBER(SEARCH(Search!$N$6,J1020))),OR(Search!$N$7="",ISNUMBER(SEARCH(Search!$N$7,J1020))),OR(Search!$N$8="",ISNUMBER(SEARCH(Search!$N$8,J1020)))),1,0))</f>
        <v>0</v>
      </c>
      <c r="L1020" s="1" t="n">
        <f aca="false">L1019+K1020</f>
        <v>0</v>
      </c>
    </row>
    <row r="1021" customFormat="false" ht="15" hidden="false" customHeight="true" outlineLevel="0" collapsed="false">
      <c r="A1021" s="1" t="s">
        <v>294</v>
      </c>
      <c r="B1021" s="1" t="s">
        <v>1221</v>
      </c>
      <c r="C1021" s="1" t="n">
        <v>34</v>
      </c>
      <c r="E1021" s="1" t="s">
        <v>585</v>
      </c>
      <c r="F1021" s="1" t="s">
        <v>2959</v>
      </c>
      <c r="G1021" s="1" t="s">
        <v>2960</v>
      </c>
      <c r="H1021" s="1" t="s">
        <v>1409</v>
      </c>
      <c r="I1021" s="1" t="s">
        <v>2961</v>
      </c>
      <c r="J1021" s="1" t="s">
        <v>2962</v>
      </c>
      <c r="K1021" s="1" t="n">
        <f aca="false">IF(Search!$D$5="",0,IF(AND(OR(Search!$N$5="",ISNUMBER(SEARCH(Search!$N$5,J1021))),OR(Search!$N$6="",ISNUMBER(SEARCH(Search!$N$6,J1021))),OR(Search!$N$7="",ISNUMBER(SEARCH(Search!$N$7,J1021))),OR(Search!$N$8="",ISNUMBER(SEARCH(Search!$N$8,J1021)))),1,0))</f>
        <v>0</v>
      </c>
      <c r="L1021" s="1" t="n">
        <f aca="false">L1020+K1021</f>
        <v>0</v>
      </c>
    </row>
    <row r="1022" customFormat="false" ht="15" hidden="false" customHeight="true" outlineLevel="0" collapsed="false">
      <c r="A1022" s="1" t="s">
        <v>294</v>
      </c>
      <c r="B1022" s="1" t="s">
        <v>1221</v>
      </c>
      <c r="C1022" s="1" t="n">
        <v>35</v>
      </c>
      <c r="E1022" s="1" t="s">
        <v>580</v>
      </c>
      <c r="F1022" s="1" t="s">
        <v>2963</v>
      </c>
      <c r="G1022" s="1" t="s">
        <v>2964</v>
      </c>
      <c r="H1022" s="1" t="s">
        <v>1882</v>
      </c>
      <c r="I1022" s="1" t="s">
        <v>2965</v>
      </c>
      <c r="J1022" s="1" t="s">
        <v>2966</v>
      </c>
      <c r="K1022" s="1" t="n">
        <f aca="false">IF(Search!$D$5="",0,IF(AND(OR(Search!$N$5="",ISNUMBER(SEARCH(Search!$N$5,J1022))),OR(Search!$N$6="",ISNUMBER(SEARCH(Search!$N$6,J1022))),OR(Search!$N$7="",ISNUMBER(SEARCH(Search!$N$7,J1022))),OR(Search!$N$8="",ISNUMBER(SEARCH(Search!$N$8,J1022)))),1,0))</f>
        <v>0</v>
      </c>
      <c r="L1022" s="1" t="n">
        <f aca="false">L1021+K1022</f>
        <v>0</v>
      </c>
    </row>
    <row r="1023" customFormat="false" ht="15" hidden="false" customHeight="true" outlineLevel="0" collapsed="false">
      <c r="A1023" s="1" t="s">
        <v>294</v>
      </c>
      <c r="B1023" s="1" t="s">
        <v>1221</v>
      </c>
      <c r="C1023" s="1" t="n">
        <v>36</v>
      </c>
      <c r="E1023" s="1" t="s">
        <v>587</v>
      </c>
      <c r="F1023" s="1" t="s">
        <v>2967</v>
      </c>
      <c r="G1023" s="1" t="s">
        <v>2968</v>
      </c>
      <c r="H1023" s="1" t="s">
        <v>1882</v>
      </c>
      <c r="I1023" s="1" t="s">
        <v>2969</v>
      </c>
      <c r="J1023" s="1" t="s">
        <v>2970</v>
      </c>
      <c r="K1023" s="1" t="n">
        <f aca="false">IF(Search!$D$5="",0,IF(AND(OR(Search!$N$5="",ISNUMBER(SEARCH(Search!$N$5,J1023))),OR(Search!$N$6="",ISNUMBER(SEARCH(Search!$N$6,J1023))),OR(Search!$N$7="",ISNUMBER(SEARCH(Search!$N$7,J1023))),OR(Search!$N$8="",ISNUMBER(SEARCH(Search!$N$8,J1023)))),1,0))</f>
        <v>0</v>
      </c>
      <c r="L1023" s="1" t="n">
        <f aca="false">L1022+K1023</f>
        <v>0</v>
      </c>
    </row>
    <row r="1024" customFormat="false" ht="15" hidden="false" customHeight="true" outlineLevel="0" collapsed="false">
      <c r="A1024" s="1" t="s">
        <v>294</v>
      </c>
      <c r="B1024" s="1" t="s">
        <v>1221</v>
      </c>
      <c r="C1024" s="1" t="n">
        <v>37</v>
      </c>
      <c r="E1024" s="1" t="s">
        <v>579</v>
      </c>
      <c r="F1024" s="1" t="s">
        <v>2971</v>
      </c>
      <c r="G1024" s="1" t="s">
        <v>2972</v>
      </c>
      <c r="H1024" s="1" t="s">
        <v>2776</v>
      </c>
      <c r="I1024" s="1" t="s">
        <v>2973</v>
      </c>
      <c r="J1024" s="1" t="s">
        <v>2974</v>
      </c>
      <c r="K1024" s="1" t="n">
        <f aca="false">IF(Search!$D$5="",0,IF(AND(OR(Search!$N$5="",ISNUMBER(SEARCH(Search!$N$5,J1024))),OR(Search!$N$6="",ISNUMBER(SEARCH(Search!$N$6,J1024))),OR(Search!$N$7="",ISNUMBER(SEARCH(Search!$N$7,J1024))),OR(Search!$N$8="",ISNUMBER(SEARCH(Search!$N$8,J1024)))),1,0))</f>
        <v>0</v>
      </c>
      <c r="L1024" s="1" t="n">
        <f aca="false">L1023+K1024</f>
        <v>0</v>
      </c>
    </row>
    <row r="1025" customFormat="false" ht="15" hidden="false" customHeight="true" outlineLevel="0" collapsed="false">
      <c r="A1025" s="1" t="s">
        <v>294</v>
      </c>
      <c r="B1025" s="1" t="s">
        <v>1221</v>
      </c>
      <c r="C1025" s="1" t="n">
        <v>38</v>
      </c>
      <c r="E1025" s="1" t="s">
        <v>583</v>
      </c>
      <c r="F1025" s="1" t="s">
        <v>2975</v>
      </c>
      <c r="G1025" s="1" t="s">
        <v>449</v>
      </c>
      <c r="H1025" s="1" t="s">
        <v>2860</v>
      </c>
      <c r="I1025" s="1" t="s">
        <v>2976</v>
      </c>
      <c r="J1025" s="1" t="s">
        <v>2977</v>
      </c>
      <c r="K1025" s="1" t="n">
        <f aca="false">IF(Search!$D$5="",0,IF(AND(OR(Search!$N$5="",ISNUMBER(SEARCH(Search!$N$5,J1025))),OR(Search!$N$6="",ISNUMBER(SEARCH(Search!$N$6,J1025))),OR(Search!$N$7="",ISNUMBER(SEARCH(Search!$N$7,J1025))),OR(Search!$N$8="",ISNUMBER(SEARCH(Search!$N$8,J1025)))),1,0))</f>
        <v>0</v>
      </c>
      <c r="L1025" s="1" t="n">
        <f aca="false">L1024+K1025</f>
        <v>0</v>
      </c>
    </row>
    <row r="1026" customFormat="false" ht="15" hidden="false" customHeight="true" outlineLevel="0" collapsed="false">
      <c r="A1026" s="1" t="s">
        <v>294</v>
      </c>
      <c r="B1026" s="1" t="s">
        <v>1221</v>
      </c>
      <c r="C1026" s="1" t="n">
        <v>39</v>
      </c>
      <c r="E1026" s="1" t="s">
        <v>2168</v>
      </c>
      <c r="F1026" s="1" t="s">
        <v>2978</v>
      </c>
      <c r="G1026" s="1" t="s">
        <v>2979</v>
      </c>
      <c r="H1026" s="1" t="s">
        <v>2980</v>
      </c>
      <c r="I1026" s="1" t="s">
        <v>2981</v>
      </c>
      <c r="J1026" s="1" t="s">
        <v>2982</v>
      </c>
      <c r="K1026" s="1" t="n">
        <f aca="false">IF(Search!$D$5="",0,IF(AND(OR(Search!$N$5="",ISNUMBER(SEARCH(Search!$N$5,J1026))),OR(Search!$N$6="",ISNUMBER(SEARCH(Search!$N$6,J1026))),OR(Search!$N$7="",ISNUMBER(SEARCH(Search!$N$7,J1026))),OR(Search!$N$8="",ISNUMBER(SEARCH(Search!$N$8,J1026)))),1,0))</f>
        <v>0</v>
      </c>
      <c r="L1026" s="1" t="n">
        <f aca="false">L1025+K1026</f>
        <v>0</v>
      </c>
    </row>
    <row r="1027" customFormat="false" ht="15" hidden="false" customHeight="true" outlineLevel="0" collapsed="false">
      <c r="A1027" s="1" t="s">
        <v>294</v>
      </c>
      <c r="B1027" s="1" t="s">
        <v>1221</v>
      </c>
      <c r="C1027" s="1" t="n">
        <v>40</v>
      </c>
      <c r="E1027" s="1" t="s">
        <v>1959</v>
      </c>
      <c r="F1027" s="1" t="s">
        <v>2983</v>
      </c>
      <c r="G1027" s="1" t="s">
        <v>2984</v>
      </c>
      <c r="H1027" s="1" t="s">
        <v>2844</v>
      </c>
      <c r="I1027" s="1" t="s">
        <v>2985</v>
      </c>
      <c r="J1027" s="1" t="s">
        <v>2986</v>
      </c>
      <c r="K1027" s="1" t="n">
        <f aca="false">IF(Search!$D$5="",0,IF(AND(OR(Search!$N$5="",ISNUMBER(SEARCH(Search!$N$5,J1027))),OR(Search!$N$6="",ISNUMBER(SEARCH(Search!$N$6,J1027))),OR(Search!$N$7="",ISNUMBER(SEARCH(Search!$N$7,J1027))),OR(Search!$N$8="",ISNUMBER(SEARCH(Search!$N$8,J1027)))),1,0))</f>
        <v>0</v>
      </c>
      <c r="L1027" s="1" t="n">
        <f aca="false">L1026+K1027</f>
        <v>0</v>
      </c>
    </row>
    <row r="1028" customFormat="false" ht="15" hidden="false" customHeight="true" outlineLevel="0" collapsed="false">
      <c r="A1028" s="1" t="s">
        <v>294</v>
      </c>
      <c r="B1028" s="1" t="s">
        <v>1221</v>
      </c>
      <c r="C1028" s="1" t="n">
        <v>41</v>
      </c>
      <c r="E1028" s="1" t="s">
        <v>982</v>
      </c>
      <c r="F1028" s="1" t="s">
        <v>2987</v>
      </c>
      <c r="G1028" s="1" t="s">
        <v>2988</v>
      </c>
      <c r="H1028" s="1" t="s">
        <v>2989</v>
      </c>
      <c r="I1028" s="1" t="s">
        <v>2990</v>
      </c>
      <c r="J1028" s="1" t="s">
        <v>2991</v>
      </c>
      <c r="K1028" s="1" t="n">
        <f aca="false">IF(Search!$D$5="",0,IF(AND(OR(Search!$N$5="",ISNUMBER(SEARCH(Search!$N$5,J1028))),OR(Search!$N$6="",ISNUMBER(SEARCH(Search!$N$6,J1028))),OR(Search!$N$7="",ISNUMBER(SEARCH(Search!$N$7,J1028))),OR(Search!$N$8="",ISNUMBER(SEARCH(Search!$N$8,J1028)))),1,0))</f>
        <v>0</v>
      </c>
      <c r="L1028" s="1" t="n">
        <f aca="false">L1027+K1028</f>
        <v>0</v>
      </c>
    </row>
    <row r="1029" customFormat="false" ht="15" hidden="false" customHeight="true" outlineLevel="0" collapsed="false">
      <c r="A1029" s="1" t="s">
        <v>294</v>
      </c>
      <c r="B1029" s="1" t="s">
        <v>1221</v>
      </c>
      <c r="C1029" s="1" t="n">
        <v>42</v>
      </c>
      <c r="E1029" s="1" t="s">
        <v>2187</v>
      </c>
      <c r="F1029" s="1" t="s">
        <v>2992</v>
      </c>
      <c r="G1029" s="1" t="s">
        <v>2993</v>
      </c>
      <c r="H1029" s="1" t="s">
        <v>2838</v>
      </c>
      <c r="I1029" s="1" t="s">
        <v>2994</v>
      </c>
      <c r="J1029" s="1" t="s">
        <v>2995</v>
      </c>
      <c r="K1029" s="1" t="n">
        <f aca="false">IF(Search!$D$5="",0,IF(AND(OR(Search!$N$5="",ISNUMBER(SEARCH(Search!$N$5,J1029))),OR(Search!$N$6="",ISNUMBER(SEARCH(Search!$N$6,J1029))),OR(Search!$N$7="",ISNUMBER(SEARCH(Search!$N$7,J1029))),OR(Search!$N$8="",ISNUMBER(SEARCH(Search!$N$8,J1029)))),1,0))</f>
        <v>0</v>
      </c>
      <c r="L1029" s="1" t="n">
        <f aca="false">L1028+K1029</f>
        <v>0</v>
      </c>
    </row>
    <row r="1030" customFormat="false" ht="15" hidden="false" customHeight="true" outlineLevel="0" collapsed="false">
      <c r="A1030" s="1" t="s">
        <v>294</v>
      </c>
      <c r="B1030" s="1" t="s">
        <v>1221</v>
      </c>
      <c r="C1030" s="1" t="n">
        <v>43</v>
      </c>
      <c r="E1030" s="1" t="s">
        <v>492</v>
      </c>
      <c r="F1030" s="1" t="s">
        <v>2996</v>
      </c>
      <c r="G1030" s="1" t="s">
        <v>2997</v>
      </c>
      <c r="H1030" s="1" t="s">
        <v>1045</v>
      </c>
      <c r="I1030" s="1" t="s">
        <v>2848</v>
      </c>
      <c r="J1030" s="1" t="s">
        <v>2998</v>
      </c>
      <c r="K1030" s="1" t="n">
        <f aca="false">IF(Search!$D$5="",0,IF(AND(OR(Search!$N$5="",ISNUMBER(SEARCH(Search!$N$5,J1030))),OR(Search!$N$6="",ISNUMBER(SEARCH(Search!$N$6,J1030))),OR(Search!$N$7="",ISNUMBER(SEARCH(Search!$N$7,J1030))),OR(Search!$N$8="",ISNUMBER(SEARCH(Search!$N$8,J1030)))),1,0))</f>
        <v>0</v>
      </c>
      <c r="L1030" s="1" t="n">
        <f aca="false">L1029+K1030</f>
        <v>0</v>
      </c>
    </row>
    <row r="1031" customFormat="false" ht="15" hidden="false" customHeight="true" outlineLevel="0" collapsed="false">
      <c r="A1031" s="1" t="s">
        <v>294</v>
      </c>
      <c r="B1031" s="1" t="s">
        <v>1221</v>
      </c>
      <c r="C1031" s="1" t="n">
        <v>44</v>
      </c>
      <c r="E1031" s="1" t="s">
        <v>2391</v>
      </c>
      <c r="F1031" s="1" t="s">
        <v>2999</v>
      </c>
      <c r="G1031" s="1" t="s">
        <v>3000</v>
      </c>
      <c r="H1031" s="1" t="s">
        <v>3001</v>
      </c>
      <c r="I1031" s="1" t="s">
        <v>2848</v>
      </c>
      <c r="J1031" s="1" t="s">
        <v>3002</v>
      </c>
      <c r="K1031" s="1" t="n">
        <f aca="false">IF(Search!$D$5="",0,IF(AND(OR(Search!$N$5="",ISNUMBER(SEARCH(Search!$N$5,J1031))),OR(Search!$N$6="",ISNUMBER(SEARCH(Search!$N$6,J1031))),OR(Search!$N$7="",ISNUMBER(SEARCH(Search!$N$7,J1031))),OR(Search!$N$8="",ISNUMBER(SEARCH(Search!$N$8,J1031)))),1,0))</f>
        <v>0</v>
      </c>
      <c r="L1031" s="1" t="n">
        <f aca="false">L1030+K1031</f>
        <v>0</v>
      </c>
    </row>
    <row r="1032" customFormat="false" ht="15" hidden="false" customHeight="true" outlineLevel="0" collapsed="false">
      <c r="A1032" s="1" t="s">
        <v>294</v>
      </c>
      <c r="B1032" s="1" t="s">
        <v>1221</v>
      </c>
      <c r="C1032" s="1" t="n">
        <v>45</v>
      </c>
      <c r="E1032" s="1" t="s">
        <v>2699</v>
      </c>
      <c r="F1032" s="1" t="s">
        <v>3003</v>
      </c>
      <c r="G1032" s="1" t="s">
        <v>3004</v>
      </c>
      <c r="H1032" s="1" t="s">
        <v>3005</v>
      </c>
      <c r="I1032" s="1" t="s">
        <v>2848</v>
      </c>
      <c r="J1032" s="1" t="s">
        <v>3006</v>
      </c>
      <c r="K1032" s="1" t="n">
        <f aca="false">IF(Search!$D$5="",0,IF(AND(OR(Search!$N$5="",ISNUMBER(SEARCH(Search!$N$5,J1032))),OR(Search!$N$6="",ISNUMBER(SEARCH(Search!$N$6,J1032))),OR(Search!$N$7="",ISNUMBER(SEARCH(Search!$N$7,J1032))),OR(Search!$N$8="",ISNUMBER(SEARCH(Search!$N$8,J1032)))),1,0))</f>
        <v>0</v>
      </c>
      <c r="L1032" s="1" t="n">
        <f aca="false">L1031+K1032</f>
        <v>0</v>
      </c>
    </row>
    <row r="1033" customFormat="false" ht="15" hidden="false" customHeight="true" outlineLevel="0" collapsed="false">
      <c r="A1033" s="1" t="s">
        <v>294</v>
      </c>
      <c r="B1033" s="1" t="s">
        <v>1221</v>
      </c>
      <c r="C1033" s="1" t="n">
        <v>48</v>
      </c>
      <c r="E1033" s="1" t="s">
        <v>3007</v>
      </c>
      <c r="J1033" s="1" t="s">
        <v>3007</v>
      </c>
      <c r="K1033" s="1" t="n">
        <f aca="false">IF(Search!$D$5="",0,IF(AND(OR(Search!$N$5="",ISNUMBER(SEARCH(Search!$N$5,J1033))),OR(Search!$N$6="",ISNUMBER(SEARCH(Search!$N$6,J1033))),OR(Search!$N$7="",ISNUMBER(SEARCH(Search!$N$7,J1033))),OR(Search!$N$8="",ISNUMBER(SEARCH(Search!$N$8,J1033)))),1,0))</f>
        <v>0</v>
      </c>
      <c r="L1033" s="1" t="n">
        <f aca="false">L1032+K1033</f>
        <v>0</v>
      </c>
    </row>
    <row r="1034" customFormat="false" ht="15" hidden="false" customHeight="true" outlineLevel="0" collapsed="false">
      <c r="A1034" s="1" t="s">
        <v>294</v>
      </c>
      <c r="B1034" s="1" t="s">
        <v>1221</v>
      </c>
      <c r="C1034" s="1" t="n">
        <v>49</v>
      </c>
      <c r="E1034" s="1" t="s">
        <v>1279</v>
      </c>
      <c r="J1034" s="1" t="s">
        <v>1279</v>
      </c>
      <c r="K1034" s="1" t="n">
        <f aca="false">IF(Search!$D$5="",0,IF(AND(OR(Search!$N$5="",ISNUMBER(SEARCH(Search!$N$5,J1034))),OR(Search!$N$6="",ISNUMBER(SEARCH(Search!$N$6,J1034))),OR(Search!$N$7="",ISNUMBER(SEARCH(Search!$N$7,J1034))),OR(Search!$N$8="",ISNUMBER(SEARCH(Search!$N$8,J1034)))),1,0))</f>
        <v>0</v>
      </c>
      <c r="L1034" s="1" t="n">
        <f aca="false">L1033+K1034</f>
        <v>0</v>
      </c>
    </row>
    <row r="1035" customFormat="false" ht="16.5" hidden="false" customHeight="true" outlineLevel="0" collapsed="false">
      <c r="A1035" s="1" t="s">
        <v>297</v>
      </c>
      <c r="B1035" s="1" t="s">
        <v>1221</v>
      </c>
      <c r="C1035" s="1" t="n">
        <v>2</v>
      </c>
      <c r="E1035" s="1" t="s">
        <v>3008</v>
      </c>
      <c r="J1035" s="1" t="s">
        <v>3008</v>
      </c>
      <c r="K1035" s="1" t="n">
        <f aca="false">IF(Search!$D$5="",0,IF(AND(OR(Search!$N$5="",ISNUMBER(SEARCH(Search!$N$5,J1035))),OR(Search!$N$6="",ISNUMBER(SEARCH(Search!$N$6,J1035))),OR(Search!$N$7="",ISNUMBER(SEARCH(Search!$N$7,J1035))),OR(Search!$N$8="",ISNUMBER(SEARCH(Search!$N$8,J1035)))),1,0))</f>
        <v>0</v>
      </c>
      <c r="L1035" s="1" t="n">
        <f aca="false">L1034+K1035</f>
        <v>0</v>
      </c>
    </row>
    <row r="1036" customFormat="false" ht="15" hidden="false" customHeight="true" outlineLevel="0" collapsed="false">
      <c r="A1036" s="1" t="s">
        <v>297</v>
      </c>
      <c r="B1036" s="1" t="s">
        <v>1221</v>
      </c>
      <c r="C1036" s="1" t="n">
        <v>3</v>
      </c>
      <c r="E1036" s="1" t="s">
        <v>3009</v>
      </c>
      <c r="J1036" s="1" t="s">
        <v>3009</v>
      </c>
      <c r="K1036" s="1" t="n">
        <f aca="false">IF(Search!$D$5="",0,IF(AND(OR(Search!$N$5="",ISNUMBER(SEARCH(Search!$N$5,J1036))),OR(Search!$N$6="",ISNUMBER(SEARCH(Search!$N$6,J1036))),OR(Search!$N$7="",ISNUMBER(SEARCH(Search!$N$7,J1036))),OR(Search!$N$8="",ISNUMBER(SEARCH(Search!$N$8,J1036)))),1,0))</f>
        <v>0</v>
      </c>
      <c r="L1036" s="1" t="n">
        <f aca="false">L1035+K1036</f>
        <v>0</v>
      </c>
    </row>
    <row r="1037" customFormat="false" ht="15" hidden="false" customHeight="true" outlineLevel="0" collapsed="false">
      <c r="A1037" s="1" t="s">
        <v>297</v>
      </c>
      <c r="B1037" s="1" t="s">
        <v>1221</v>
      </c>
      <c r="C1037" s="1" t="n">
        <v>5</v>
      </c>
      <c r="E1037" s="1" t="s">
        <v>3010</v>
      </c>
      <c r="J1037" s="1" t="s">
        <v>3010</v>
      </c>
      <c r="K1037" s="1" t="n">
        <f aca="false">IF(Search!$D$5="",0,IF(AND(OR(Search!$N$5="",ISNUMBER(SEARCH(Search!$N$5,J1037))),OR(Search!$N$6="",ISNUMBER(SEARCH(Search!$N$6,J1037))),OR(Search!$N$7="",ISNUMBER(SEARCH(Search!$N$7,J1037))),OR(Search!$N$8="",ISNUMBER(SEARCH(Search!$N$8,J1037)))),1,0))</f>
        <v>0</v>
      </c>
      <c r="L1037" s="1" t="n">
        <f aca="false">L1036+K1037</f>
        <v>0</v>
      </c>
    </row>
    <row r="1038" customFormat="false" ht="54.75" hidden="false" customHeight="true" outlineLevel="0" collapsed="false">
      <c r="A1038" s="1" t="s">
        <v>297</v>
      </c>
      <c r="B1038" s="1" t="s">
        <v>1221</v>
      </c>
      <c r="C1038" s="1" t="n">
        <v>6</v>
      </c>
      <c r="E1038" s="46" t="s">
        <v>1807</v>
      </c>
      <c r="F1038" s="46" t="s">
        <v>3011</v>
      </c>
      <c r="G1038" s="46" t="s">
        <v>3012</v>
      </c>
      <c r="J1038" s="46" t="s">
        <v>3013</v>
      </c>
      <c r="K1038" s="1" t="n">
        <f aca="false">IF(Search!$D$5="",0,IF(AND(OR(Search!$N$5="",ISNUMBER(SEARCH(Search!$N$5,J1038))),OR(Search!$N$6="",ISNUMBER(SEARCH(Search!$N$6,J1038))),OR(Search!$N$7="",ISNUMBER(SEARCH(Search!$N$7,J1038))),OR(Search!$N$8="",ISNUMBER(SEARCH(Search!$N$8,J1038)))),1,0))</f>
        <v>0</v>
      </c>
      <c r="L1038" s="1" t="n">
        <f aca="false">L1037+K1038</f>
        <v>0</v>
      </c>
    </row>
    <row r="1039" customFormat="false" ht="15" hidden="false" customHeight="true" outlineLevel="0" collapsed="false">
      <c r="A1039" s="1" t="s">
        <v>297</v>
      </c>
      <c r="B1039" s="1" t="s">
        <v>1221</v>
      </c>
      <c r="C1039" s="1" t="n">
        <v>7</v>
      </c>
      <c r="E1039" s="1" t="s">
        <v>1409</v>
      </c>
      <c r="F1039" s="1" t="s">
        <v>3014</v>
      </c>
      <c r="G1039" s="1" t="s">
        <v>3015</v>
      </c>
      <c r="J1039" s="1" t="s">
        <v>3016</v>
      </c>
      <c r="K1039" s="1" t="n">
        <f aca="false">IF(Search!$D$5="",0,IF(AND(OR(Search!$N$5="",ISNUMBER(SEARCH(Search!$N$5,J1039))),OR(Search!$N$6="",ISNUMBER(SEARCH(Search!$N$6,J1039))),OR(Search!$N$7="",ISNUMBER(SEARCH(Search!$N$7,J1039))),OR(Search!$N$8="",ISNUMBER(SEARCH(Search!$N$8,J1039)))),1,0))</f>
        <v>0</v>
      </c>
      <c r="L1039" s="1" t="n">
        <f aca="false">L1038+K1039</f>
        <v>0</v>
      </c>
    </row>
    <row r="1040" customFormat="false" ht="15" hidden="false" customHeight="true" outlineLevel="0" collapsed="false">
      <c r="A1040" s="1" t="s">
        <v>297</v>
      </c>
      <c r="B1040" s="1" t="s">
        <v>1221</v>
      </c>
      <c r="C1040" s="1" t="n">
        <v>8</v>
      </c>
      <c r="E1040" s="1" t="s">
        <v>1812</v>
      </c>
      <c r="F1040" s="1" t="s">
        <v>3017</v>
      </c>
      <c r="G1040" s="1" t="s">
        <v>3018</v>
      </c>
      <c r="J1040" s="1" t="s">
        <v>3019</v>
      </c>
      <c r="K1040" s="1" t="n">
        <f aca="false">IF(Search!$D$5="",0,IF(AND(OR(Search!$N$5="",ISNUMBER(SEARCH(Search!$N$5,J1040))),OR(Search!$N$6="",ISNUMBER(SEARCH(Search!$N$6,J1040))),OR(Search!$N$7="",ISNUMBER(SEARCH(Search!$N$7,J1040))),OR(Search!$N$8="",ISNUMBER(SEARCH(Search!$N$8,J1040)))),1,0))</f>
        <v>0</v>
      </c>
      <c r="L1040" s="1" t="n">
        <f aca="false">L1039+K1040</f>
        <v>0</v>
      </c>
    </row>
    <row r="1041" customFormat="false" ht="15" hidden="false" customHeight="true" outlineLevel="0" collapsed="false">
      <c r="A1041" s="1" t="s">
        <v>297</v>
      </c>
      <c r="B1041" s="1" t="s">
        <v>1221</v>
      </c>
      <c r="C1041" s="1" t="n">
        <v>9</v>
      </c>
      <c r="E1041" s="1" t="s">
        <v>2682</v>
      </c>
      <c r="F1041" s="1" t="s">
        <v>3020</v>
      </c>
      <c r="G1041" s="1" t="s">
        <v>3021</v>
      </c>
      <c r="J1041" s="1" t="s">
        <v>3022</v>
      </c>
      <c r="K1041" s="1" t="n">
        <f aca="false">IF(Search!$D$5="",0,IF(AND(OR(Search!$N$5="",ISNUMBER(SEARCH(Search!$N$5,J1041))),OR(Search!$N$6="",ISNUMBER(SEARCH(Search!$N$6,J1041))),OR(Search!$N$7="",ISNUMBER(SEARCH(Search!$N$7,J1041))),OR(Search!$N$8="",ISNUMBER(SEARCH(Search!$N$8,J1041)))),1,0))</f>
        <v>0</v>
      </c>
      <c r="L1041" s="1" t="n">
        <f aca="false">L1040+K1041</f>
        <v>0</v>
      </c>
    </row>
    <row r="1042" customFormat="false" ht="15" hidden="false" customHeight="true" outlineLevel="0" collapsed="false">
      <c r="A1042" s="1" t="s">
        <v>297</v>
      </c>
      <c r="B1042" s="1" t="s">
        <v>1221</v>
      </c>
      <c r="C1042" s="1" t="n">
        <v>10</v>
      </c>
      <c r="E1042" s="1" t="s">
        <v>987</v>
      </c>
      <c r="F1042" s="1" t="s">
        <v>3023</v>
      </c>
      <c r="G1042" s="1" t="s">
        <v>3024</v>
      </c>
      <c r="J1042" s="1" t="s">
        <v>3025</v>
      </c>
      <c r="K1042" s="1" t="n">
        <f aca="false">IF(Search!$D$5="",0,IF(AND(OR(Search!$N$5="",ISNUMBER(SEARCH(Search!$N$5,J1042))),OR(Search!$N$6="",ISNUMBER(SEARCH(Search!$N$6,J1042))),OR(Search!$N$7="",ISNUMBER(SEARCH(Search!$N$7,J1042))),OR(Search!$N$8="",ISNUMBER(SEARCH(Search!$N$8,J1042)))),1,0))</f>
        <v>0</v>
      </c>
      <c r="L1042" s="1" t="n">
        <f aca="false">L1041+K1042</f>
        <v>0</v>
      </c>
    </row>
    <row r="1043" customFormat="false" ht="15" hidden="false" customHeight="true" outlineLevel="0" collapsed="false">
      <c r="A1043" s="1" t="s">
        <v>297</v>
      </c>
      <c r="B1043" s="1" t="s">
        <v>1221</v>
      </c>
      <c r="C1043" s="1" t="n">
        <v>11</v>
      </c>
      <c r="E1043" s="1" t="s">
        <v>2358</v>
      </c>
      <c r="F1043" s="1" t="s">
        <v>3026</v>
      </c>
      <c r="G1043" s="1" t="s">
        <v>3027</v>
      </c>
      <c r="J1043" s="1" t="s">
        <v>3028</v>
      </c>
      <c r="K1043" s="1" t="n">
        <f aca="false">IF(Search!$D$5="",0,IF(AND(OR(Search!$N$5="",ISNUMBER(SEARCH(Search!$N$5,J1043))),OR(Search!$N$6="",ISNUMBER(SEARCH(Search!$N$6,J1043))),OR(Search!$N$7="",ISNUMBER(SEARCH(Search!$N$7,J1043))),OR(Search!$N$8="",ISNUMBER(SEARCH(Search!$N$8,J1043)))),1,0))</f>
        <v>0</v>
      </c>
      <c r="L1043" s="1" t="n">
        <f aca="false">L1042+K1043</f>
        <v>0</v>
      </c>
    </row>
    <row r="1044" customFormat="false" ht="15" hidden="false" customHeight="true" outlineLevel="0" collapsed="false">
      <c r="A1044" s="1" t="s">
        <v>297</v>
      </c>
      <c r="B1044" s="1" t="s">
        <v>1221</v>
      </c>
      <c r="C1044" s="1" t="n">
        <v>12</v>
      </c>
      <c r="E1044" s="1" t="s">
        <v>1830</v>
      </c>
      <c r="F1044" s="1" t="s">
        <v>3029</v>
      </c>
      <c r="G1044" s="1" t="s">
        <v>3030</v>
      </c>
      <c r="J1044" s="1" t="s">
        <v>3031</v>
      </c>
      <c r="K1044" s="1" t="n">
        <f aca="false">IF(Search!$D$5="",0,IF(AND(OR(Search!$N$5="",ISNUMBER(SEARCH(Search!$N$5,J1044))),OR(Search!$N$6="",ISNUMBER(SEARCH(Search!$N$6,J1044))),OR(Search!$N$7="",ISNUMBER(SEARCH(Search!$N$7,J1044))),OR(Search!$N$8="",ISNUMBER(SEARCH(Search!$N$8,J1044)))),1,0))</f>
        <v>0</v>
      </c>
      <c r="L1044" s="1" t="n">
        <f aca="false">L1043+K1044</f>
        <v>0</v>
      </c>
    </row>
    <row r="1045" customFormat="false" ht="15" hidden="false" customHeight="true" outlineLevel="0" collapsed="false">
      <c r="A1045" s="1" t="s">
        <v>297</v>
      </c>
      <c r="B1045" s="1" t="s">
        <v>1221</v>
      </c>
      <c r="C1045" s="1" t="n">
        <v>13</v>
      </c>
      <c r="E1045" s="1" t="s">
        <v>2905</v>
      </c>
      <c r="F1045" s="1" t="s">
        <v>3032</v>
      </c>
      <c r="G1045" s="1" t="s">
        <v>3033</v>
      </c>
      <c r="J1045" s="1" t="s">
        <v>3034</v>
      </c>
      <c r="K1045" s="1" t="n">
        <f aca="false">IF(Search!$D$5="",0,IF(AND(OR(Search!$N$5="",ISNUMBER(SEARCH(Search!$N$5,J1045))),OR(Search!$N$6="",ISNUMBER(SEARCH(Search!$N$6,J1045))),OR(Search!$N$7="",ISNUMBER(SEARCH(Search!$N$7,J1045))),OR(Search!$N$8="",ISNUMBER(SEARCH(Search!$N$8,J1045)))),1,0))</f>
        <v>0</v>
      </c>
      <c r="L1045" s="1" t="n">
        <f aca="false">L1044+K1045</f>
        <v>0</v>
      </c>
    </row>
    <row r="1046" customFormat="false" ht="15" hidden="false" customHeight="true" outlineLevel="0" collapsed="false">
      <c r="A1046" s="1" t="s">
        <v>297</v>
      </c>
      <c r="B1046" s="1" t="s">
        <v>1221</v>
      </c>
      <c r="C1046" s="1" t="n">
        <v>14</v>
      </c>
      <c r="E1046" s="1" t="s">
        <v>2377</v>
      </c>
      <c r="F1046" s="1" t="s">
        <v>3035</v>
      </c>
      <c r="G1046" s="1" t="s">
        <v>3036</v>
      </c>
      <c r="J1046" s="1" t="s">
        <v>3037</v>
      </c>
      <c r="K1046" s="1" t="n">
        <f aca="false">IF(Search!$D$5="",0,IF(AND(OR(Search!$N$5="",ISNUMBER(SEARCH(Search!$N$5,J1046))),OR(Search!$N$6="",ISNUMBER(SEARCH(Search!$N$6,J1046))),OR(Search!$N$7="",ISNUMBER(SEARCH(Search!$N$7,J1046))),OR(Search!$N$8="",ISNUMBER(SEARCH(Search!$N$8,J1046)))),1,0))</f>
        <v>0</v>
      </c>
      <c r="L1046" s="1" t="n">
        <f aca="false">L1045+K1046</f>
        <v>0</v>
      </c>
    </row>
    <row r="1047" customFormat="false" ht="15" hidden="false" customHeight="true" outlineLevel="0" collapsed="false">
      <c r="A1047" s="1" t="s">
        <v>297</v>
      </c>
      <c r="B1047" s="1" t="s">
        <v>1221</v>
      </c>
      <c r="C1047" s="1" t="n">
        <v>15</v>
      </c>
      <c r="E1047" s="1" t="s">
        <v>1834</v>
      </c>
      <c r="F1047" s="1" t="s">
        <v>3038</v>
      </c>
      <c r="G1047" s="1" t="s">
        <v>3039</v>
      </c>
      <c r="J1047" s="1" t="s">
        <v>3040</v>
      </c>
      <c r="K1047" s="1" t="n">
        <f aca="false">IF(Search!$D$5="",0,IF(AND(OR(Search!$N$5="",ISNUMBER(SEARCH(Search!$N$5,J1047))),OR(Search!$N$6="",ISNUMBER(SEARCH(Search!$N$6,J1047))),OR(Search!$N$7="",ISNUMBER(SEARCH(Search!$N$7,J1047))),OR(Search!$N$8="",ISNUMBER(SEARCH(Search!$N$8,J1047)))),1,0))</f>
        <v>0</v>
      </c>
      <c r="L1047" s="1" t="n">
        <f aca="false">L1046+K1047</f>
        <v>0</v>
      </c>
    </row>
    <row r="1048" customFormat="false" ht="15" hidden="false" customHeight="true" outlineLevel="0" collapsed="false">
      <c r="A1048" s="1" t="s">
        <v>297</v>
      </c>
      <c r="B1048" s="1" t="s">
        <v>1221</v>
      </c>
      <c r="C1048" s="1" t="n">
        <v>16</v>
      </c>
      <c r="E1048" s="1" t="s">
        <v>1919</v>
      </c>
      <c r="F1048" s="1" t="s">
        <v>3041</v>
      </c>
      <c r="G1048" s="1" t="s">
        <v>3042</v>
      </c>
      <c r="J1048" s="1" t="s">
        <v>3043</v>
      </c>
      <c r="K1048" s="1" t="n">
        <f aca="false">IF(Search!$D$5="",0,IF(AND(OR(Search!$N$5="",ISNUMBER(SEARCH(Search!$N$5,J1048))),OR(Search!$N$6="",ISNUMBER(SEARCH(Search!$N$6,J1048))),OR(Search!$N$7="",ISNUMBER(SEARCH(Search!$N$7,J1048))),OR(Search!$N$8="",ISNUMBER(SEARCH(Search!$N$8,J1048)))),1,0))</f>
        <v>0</v>
      </c>
      <c r="L1048" s="1" t="n">
        <f aca="false">L1047+K1048</f>
        <v>0</v>
      </c>
    </row>
    <row r="1049" customFormat="false" ht="15" hidden="false" customHeight="true" outlineLevel="0" collapsed="false">
      <c r="A1049" s="1" t="s">
        <v>297</v>
      </c>
      <c r="B1049" s="1" t="s">
        <v>1221</v>
      </c>
      <c r="C1049" s="1" t="n">
        <v>17</v>
      </c>
      <c r="E1049" s="1" t="s">
        <v>2732</v>
      </c>
      <c r="F1049" s="1" t="s">
        <v>3044</v>
      </c>
      <c r="G1049" s="1" t="s">
        <v>3045</v>
      </c>
      <c r="J1049" s="1" t="s">
        <v>3046</v>
      </c>
      <c r="K1049" s="1" t="n">
        <f aca="false">IF(Search!$D$5="",0,IF(AND(OR(Search!$N$5="",ISNUMBER(SEARCH(Search!$N$5,J1049))),OR(Search!$N$6="",ISNUMBER(SEARCH(Search!$N$6,J1049))),OR(Search!$N$7="",ISNUMBER(SEARCH(Search!$N$7,J1049))),OR(Search!$N$8="",ISNUMBER(SEARCH(Search!$N$8,J1049)))),1,0))</f>
        <v>0</v>
      </c>
      <c r="L1049" s="1" t="n">
        <f aca="false">L1048+K1049</f>
        <v>0</v>
      </c>
    </row>
    <row r="1050" customFormat="false" ht="15" hidden="false" customHeight="true" outlineLevel="0" collapsed="false">
      <c r="A1050" s="1" t="s">
        <v>297</v>
      </c>
      <c r="B1050" s="1" t="s">
        <v>1221</v>
      </c>
      <c r="C1050" s="1" t="n">
        <v>18</v>
      </c>
      <c r="E1050" s="1" t="s">
        <v>1838</v>
      </c>
      <c r="F1050" s="1" t="s">
        <v>3047</v>
      </c>
      <c r="G1050" s="1" t="s">
        <v>3048</v>
      </c>
      <c r="J1050" s="1" t="s">
        <v>3049</v>
      </c>
      <c r="K1050" s="1" t="n">
        <f aca="false">IF(Search!$D$5="",0,IF(AND(OR(Search!$N$5="",ISNUMBER(SEARCH(Search!$N$5,J1050))),OR(Search!$N$6="",ISNUMBER(SEARCH(Search!$N$6,J1050))),OR(Search!$N$7="",ISNUMBER(SEARCH(Search!$N$7,J1050))),OR(Search!$N$8="",ISNUMBER(SEARCH(Search!$N$8,J1050)))),1,0))</f>
        <v>0</v>
      </c>
      <c r="L1050" s="1" t="n">
        <f aca="false">L1049+K1050</f>
        <v>0</v>
      </c>
    </row>
    <row r="1051" customFormat="false" ht="15" hidden="false" customHeight="true" outlineLevel="0" collapsed="false">
      <c r="A1051" s="1" t="s">
        <v>297</v>
      </c>
      <c r="B1051" s="1" t="s">
        <v>1221</v>
      </c>
      <c r="C1051" s="1" t="n">
        <v>19</v>
      </c>
      <c r="E1051" s="1" t="s">
        <v>1847</v>
      </c>
      <c r="F1051" s="1" t="s">
        <v>3050</v>
      </c>
      <c r="G1051" s="1" t="s">
        <v>3051</v>
      </c>
      <c r="J1051" s="1" t="s">
        <v>3052</v>
      </c>
      <c r="K1051" s="1" t="n">
        <f aca="false">IF(Search!$D$5="",0,IF(AND(OR(Search!$N$5="",ISNUMBER(SEARCH(Search!$N$5,J1051))),OR(Search!$N$6="",ISNUMBER(SEARCH(Search!$N$6,J1051))),OR(Search!$N$7="",ISNUMBER(SEARCH(Search!$N$7,J1051))),OR(Search!$N$8="",ISNUMBER(SEARCH(Search!$N$8,J1051)))),1,0))</f>
        <v>0</v>
      </c>
      <c r="L1051" s="1" t="n">
        <f aca="false">L1050+K1051</f>
        <v>0</v>
      </c>
    </row>
    <row r="1052" customFormat="false" ht="15" hidden="false" customHeight="true" outlineLevel="0" collapsed="false">
      <c r="A1052" s="1" t="s">
        <v>297</v>
      </c>
      <c r="B1052" s="1" t="s">
        <v>1221</v>
      </c>
      <c r="C1052" s="1" t="n">
        <v>20</v>
      </c>
      <c r="E1052" s="1" t="s">
        <v>1904</v>
      </c>
      <c r="F1052" s="1" t="s">
        <v>3053</v>
      </c>
      <c r="G1052" s="1" t="s">
        <v>3054</v>
      </c>
      <c r="J1052" s="1" t="s">
        <v>3055</v>
      </c>
      <c r="K1052" s="1" t="n">
        <f aca="false">IF(Search!$D$5="",0,IF(AND(OR(Search!$N$5="",ISNUMBER(SEARCH(Search!$N$5,J1052))),OR(Search!$N$6="",ISNUMBER(SEARCH(Search!$N$6,J1052))),OR(Search!$N$7="",ISNUMBER(SEARCH(Search!$N$7,J1052))),OR(Search!$N$8="",ISNUMBER(SEARCH(Search!$N$8,J1052)))),1,0))</f>
        <v>0</v>
      </c>
      <c r="L1052" s="1" t="n">
        <f aca="false">L1051+K1052</f>
        <v>0</v>
      </c>
    </row>
    <row r="1053" customFormat="false" ht="15" hidden="false" customHeight="true" outlineLevel="0" collapsed="false">
      <c r="A1053" s="1" t="s">
        <v>297</v>
      </c>
      <c r="B1053" s="1" t="s">
        <v>1221</v>
      </c>
      <c r="C1053" s="1" t="n">
        <v>21</v>
      </c>
      <c r="E1053" s="1" t="s">
        <v>1929</v>
      </c>
      <c r="F1053" s="1" t="s">
        <v>3056</v>
      </c>
      <c r="G1053" s="1" t="s">
        <v>3057</v>
      </c>
      <c r="J1053" s="1" t="s">
        <v>3058</v>
      </c>
      <c r="K1053" s="1" t="n">
        <f aca="false">IF(Search!$D$5="",0,IF(AND(OR(Search!$N$5="",ISNUMBER(SEARCH(Search!$N$5,J1053))),OR(Search!$N$6="",ISNUMBER(SEARCH(Search!$N$6,J1053))),OR(Search!$N$7="",ISNUMBER(SEARCH(Search!$N$7,J1053))),OR(Search!$N$8="",ISNUMBER(SEARCH(Search!$N$8,J1053)))),1,0))</f>
        <v>0</v>
      </c>
      <c r="L1053" s="1" t="n">
        <f aca="false">L1052+K1053</f>
        <v>0</v>
      </c>
    </row>
    <row r="1054" customFormat="false" ht="15" hidden="false" customHeight="true" outlineLevel="0" collapsed="false">
      <c r="A1054" s="1" t="s">
        <v>297</v>
      </c>
      <c r="B1054" s="1" t="s">
        <v>1221</v>
      </c>
      <c r="C1054" s="1" t="n">
        <v>22</v>
      </c>
      <c r="E1054" s="1" t="s">
        <v>1975</v>
      </c>
      <c r="F1054" s="1" t="s">
        <v>3059</v>
      </c>
      <c r="G1054" s="1" t="s">
        <v>3060</v>
      </c>
      <c r="J1054" s="1" t="s">
        <v>3061</v>
      </c>
      <c r="K1054" s="1" t="n">
        <f aca="false">IF(Search!$D$5="",0,IF(AND(OR(Search!$N$5="",ISNUMBER(SEARCH(Search!$N$5,J1054))),OR(Search!$N$6="",ISNUMBER(SEARCH(Search!$N$6,J1054))),OR(Search!$N$7="",ISNUMBER(SEARCH(Search!$N$7,J1054))),OR(Search!$N$8="",ISNUMBER(SEARCH(Search!$N$8,J1054)))),1,0))</f>
        <v>0</v>
      </c>
      <c r="L1054" s="1" t="n">
        <f aca="false">L1053+K1054</f>
        <v>0</v>
      </c>
    </row>
    <row r="1055" customFormat="false" ht="15" hidden="false" customHeight="true" outlineLevel="0" collapsed="false">
      <c r="A1055" s="1" t="s">
        <v>297</v>
      </c>
      <c r="B1055" s="1" t="s">
        <v>1221</v>
      </c>
      <c r="C1055" s="1" t="n">
        <v>23</v>
      </c>
      <c r="E1055" s="1" t="s">
        <v>627</v>
      </c>
      <c r="F1055" s="1" t="s">
        <v>3062</v>
      </c>
      <c r="G1055" s="1" t="s">
        <v>3063</v>
      </c>
      <c r="J1055" s="1" t="s">
        <v>3064</v>
      </c>
      <c r="K1055" s="1" t="n">
        <f aca="false">IF(Search!$D$5="",0,IF(AND(OR(Search!$N$5="",ISNUMBER(SEARCH(Search!$N$5,J1055))),OR(Search!$N$6="",ISNUMBER(SEARCH(Search!$N$6,J1055))),OR(Search!$N$7="",ISNUMBER(SEARCH(Search!$N$7,J1055))),OR(Search!$N$8="",ISNUMBER(SEARCH(Search!$N$8,J1055)))),1,0))</f>
        <v>0</v>
      </c>
      <c r="L1055" s="1" t="n">
        <f aca="false">L1054+K1055</f>
        <v>0</v>
      </c>
    </row>
    <row r="1056" customFormat="false" ht="15" hidden="false" customHeight="true" outlineLevel="0" collapsed="false">
      <c r="A1056" s="1" t="s">
        <v>297</v>
      </c>
      <c r="B1056" s="1" t="s">
        <v>1221</v>
      </c>
      <c r="C1056" s="1" t="n">
        <v>26</v>
      </c>
      <c r="E1056" s="1" t="s">
        <v>3065</v>
      </c>
      <c r="J1056" s="1" t="s">
        <v>3065</v>
      </c>
      <c r="K1056" s="1" t="n">
        <f aca="false">IF(Search!$D$5="",0,IF(AND(OR(Search!$N$5="",ISNUMBER(SEARCH(Search!$N$5,J1056))),OR(Search!$N$6="",ISNUMBER(SEARCH(Search!$N$6,J1056))),OR(Search!$N$7="",ISNUMBER(SEARCH(Search!$N$7,J1056))),OR(Search!$N$8="",ISNUMBER(SEARCH(Search!$N$8,J1056)))),1,0))</f>
        <v>0</v>
      </c>
      <c r="L1056" s="1" t="n">
        <f aca="false">L1055+K1056</f>
        <v>0</v>
      </c>
    </row>
    <row r="1057" customFormat="false" ht="15" hidden="false" customHeight="true" outlineLevel="0" collapsed="false">
      <c r="A1057" s="1" t="s">
        <v>297</v>
      </c>
      <c r="B1057" s="1" t="s">
        <v>1221</v>
      </c>
      <c r="C1057" s="1" t="n">
        <v>27</v>
      </c>
      <c r="E1057" s="1" t="s">
        <v>1279</v>
      </c>
      <c r="J1057" s="1" t="s">
        <v>1279</v>
      </c>
      <c r="K1057" s="1" t="n">
        <f aca="false">IF(Search!$D$5="",0,IF(AND(OR(Search!$N$5="",ISNUMBER(SEARCH(Search!$N$5,J1057))),OR(Search!$N$6="",ISNUMBER(SEARCH(Search!$N$6,J1057))),OR(Search!$N$7="",ISNUMBER(SEARCH(Search!$N$7,J1057))),OR(Search!$N$8="",ISNUMBER(SEARCH(Search!$N$8,J1057)))),1,0))</f>
        <v>0</v>
      </c>
      <c r="L1057" s="1" t="n">
        <f aca="false">L1056+K1057</f>
        <v>0</v>
      </c>
    </row>
    <row r="1058" customFormat="false" ht="16.5" hidden="false" customHeight="true" outlineLevel="0" collapsed="false">
      <c r="A1058" s="1" t="s">
        <v>300</v>
      </c>
      <c r="B1058" s="1" t="s">
        <v>1221</v>
      </c>
      <c r="C1058" s="1" t="n">
        <v>2</v>
      </c>
      <c r="E1058" s="1" t="s">
        <v>3066</v>
      </c>
      <c r="J1058" s="1" t="s">
        <v>3066</v>
      </c>
      <c r="K1058" s="1" t="n">
        <f aca="false">IF(Search!$D$5="",0,IF(AND(OR(Search!$N$5="",ISNUMBER(SEARCH(Search!$N$5,J1058))),OR(Search!$N$6="",ISNUMBER(SEARCH(Search!$N$6,J1058))),OR(Search!$N$7="",ISNUMBER(SEARCH(Search!$N$7,J1058))),OR(Search!$N$8="",ISNUMBER(SEARCH(Search!$N$8,J1058)))),1,0))</f>
        <v>0</v>
      </c>
      <c r="L1058" s="1" t="n">
        <f aca="false">L1057+K1058</f>
        <v>0</v>
      </c>
    </row>
    <row r="1059" customFormat="false" ht="15" hidden="false" customHeight="true" outlineLevel="0" collapsed="false">
      <c r="A1059" s="1" t="s">
        <v>300</v>
      </c>
      <c r="B1059" s="1" t="s">
        <v>1221</v>
      </c>
      <c r="C1059" s="1" t="n">
        <v>3</v>
      </c>
      <c r="E1059" s="1" t="s">
        <v>3067</v>
      </c>
      <c r="J1059" s="1" t="s">
        <v>3067</v>
      </c>
      <c r="K1059" s="1" t="n">
        <f aca="false">IF(Search!$D$5="",0,IF(AND(OR(Search!$N$5="",ISNUMBER(SEARCH(Search!$N$5,J1059))),OR(Search!$N$6="",ISNUMBER(SEARCH(Search!$N$6,J1059))),OR(Search!$N$7="",ISNUMBER(SEARCH(Search!$N$7,J1059))),OR(Search!$N$8="",ISNUMBER(SEARCH(Search!$N$8,J1059)))),1,0))</f>
        <v>0</v>
      </c>
      <c r="L1059" s="1" t="n">
        <f aca="false">L1058+K1059</f>
        <v>0</v>
      </c>
    </row>
    <row r="1060" customFormat="false" ht="15" hidden="false" customHeight="true" outlineLevel="0" collapsed="false">
      <c r="A1060" s="1" t="s">
        <v>300</v>
      </c>
      <c r="B1060" s="1" t="s">
        <v>1221</v>
      </c>
      <c r="C1060" s="1" t="n">
        <v>5</v>
      </c>
      <c r="E1060" s="1" t="s">
        <v>3068</v>
      </c>
      <c r="J1060" s="1" t="s">
        <v>3068</v>
      </c>
      <c r="K1060" s="1" t="n">
        <f aca="false">IF(Search!$D$5="",0,IF(AND(OR(Search!$N$5="",ISNUMBER(SEARCH(Search!$N$5,J1060))),OR(Search!$N$6="",ISNUMBER(SEARCH(Search!$N$6,J1060))),OR(Search!$N$7="",ISNUMBER(SEARCH(Search!$N$7,J1060))),OR(Search!$N$8="",ISNUMBER(SEARCH(Search!$N$8,J1060)))),1,0))</f>
        <v>0</v>
      </c>
      <c r="L1060" s="1" t="n">
        <f aca="false">L1059+K1060</f>
        <v>0</v>
      </c>
    </row>
    <row r="1061" customFormat="false" ht="95.25" hidden="false" customHeight="true" outlineLevel="0" collapsed="false">
      <c r="A1061" s="1" t="s">
        <v>300</v>
      </c>
      <c r="B1061" s="1" t="s">
        <v>1221</v>
      </c>
      <c r="C1061" s="1" t="n">
        <v>6</v>
      </c>
      <c r="E1061" s="46" t="s">
        <v>3069</v>
      </c>
      <c r="F1061" s="46" t="s">
        <v>3070</v>
      </c>
      <c r="G1061" s="46" t="s">
        <v>3071</v>
      </c>
      <c r="H1061" s="46" t="s">
        <v>3072</v>
      </c>
      <c r="I1061" s="46" t="s">
        <v>3073</v>
      </c>
      <c r="J1061" s="46" t="s">
        <v>3074</v>
      </c>
      <c r="K1061" s="1" t="n">
        <f aca="false">IF(Search!$D$5="",0,IF(AND(OR(Search!$N$5="",ISNUMBER(SEARCH(Search!$N$5,J1061))),OR(Search!$N$6="",ISNUMBER(SEARCH(Search!$N$6,J1061))),OR(Search!$N$7="",ISNUMBER(SEARCH(Search!$N$7,J1061))),OR(Search!$N$8="",ISNUMBER(SEARCH(Search!$N$8,J1061)))),1,0))</f>
        <v>0</v>
      </c>
      <c r="L1061" s="1" t="n">
        <f aca="false">L1060+K1061</f>
        <v>0</v>
      </c>
    </row>
    <row r="1062" customFormat="false" ht="15" hidden="false" customHeight="true" outlineLevel="0" collapsed="false">
      <c r="A1062" s="1" t="s">
        <v>300</v>
      </c>
      <c r="B1062" s="1" t="s">
        <v>1221</v>
      </c>
      <c r="C1062" s="1" t="n">
        <v>7</v>
      </c>
      <c r="E1062" s="1" t="s">
        <v>3075</v>
      </c>
      <c r="F1062" s="1" t="s">
        <v>3076</v>
      </c>
      <c r="G1062" s="1" t="s">
        <v>1045</v>
      </c>
      <c r="H1062" s="1" t="s">
        <v>3077</v>
      </c>
      <c r="I1062" s="1" t="s">
        <v>3078</v>
      </c>
      <c r="J1062" s="1" t="s">
        <v>3079</v>
      </c>
      <c r="K1062" s="1" t="n">
        <f aca="false">IF(Search!$D$5="",0,IF(AND(OR(Search!$N$5="",ISNUMBER(SEARCH(Search!$N$5,J1062))),OR(Search!$N$6="",ISNUMBER(SEARCH(Search!$N$6,J1062))),OR(Search!$N$7="",ISNUMBER(SEARCH(Search!$N$7,J1062))),OR(Search!$N$8="",ISNUMBER(SEARCH(Search!$N$8,J1062)))),1,0))</f>
        <v>0</v>
      </c>
      <c r="L1062" s="1" t="n">
        <f aca="false">L1061+K1062</f>
        <v>0</v>
      </c>
    </row>
    <row r="1063" customFormat="false" ht="15" hidden="false" customHeight="true" outlineLevel="0" collapsed="false">
      <c r="A1063" s="1" t="s">
        <v>300</v>
      </c>
      <c r="B1063" s="1" t="s">
        <v>1221</v>
      </c>
      <c r="C1063" s="1" t="n">
        <v>8</v>
      </c>
      <c r="E1063" s="1" t="s">
        <v>627</v>
      </c>
      <c r="F1063" s="1" t="s">
        <v>524</v>
      </c>
      <c r="G1063" s="1" t="s">
        <v>2838</v>
      </c>
      <c r="H1063" s="1" t="s">
        <v>3080</v>
      </c>
      <c r="I1063" s="1" t="s">
        <v>3081</v>
      </c>
      <c r="J1063" s="1" t="s">
        <v>3082</v>
      </c>
      <c r="K1063" s="1" t="n">
        <f aca="false">IF(Search!$D$5="",0,IF(AND(OR(Search!$N$5="",ISNUMBER(SEARCH(Search!$N$5,J1063))),OR(Search!$N$6="",ISNUMBER(SEARCH(Search!$N$6,J1063))),OR(Search!$N$7="",ISNUMBER(SEARCH(Search!$N$7,J1063))),OR(Search!$N$8="",ISNUMBER(SEARCH(Search!$N$8,J1063)))),1,0))</f>
        <v>0</v>
      </c>
      <c r="L1063" s="1" t="n">
        <f aca="false">L1062+K1063</f>
        <v>0</v>
      </c>
    </row>
    <row r="1064" customFormat="false" ht="15" hidden="false" customHeight="true" outlineLevel="0" collapsed="false">
      <c r="A1064" s="1" t="s">
        <v>300</v>
      </c>
      <c r="B1064" s="1" t="s">
        <v>1221</v>
      </c>
      <c r="C1064" s="1" t="n">
        <v>9</v>
      </c>
      <c r="E1064" s="1" t="s">
        <v>627</v>
      </c>
      <c r="F1064" s="1" t="s">
        <v>524</v>
      </c>
      <c r="G1064" s="1" t="s">
        <v>1862</v>
      </c>
      <c r="H1064" s="1" t="s">
        <v>3083</v>
      </c>
      <c r="I1064" s="1" t="s">
        <v>3084</v>
      </c>
      <c r="J1064" s="1" t="s">
        <v>3085</v>
      </c>
      <c r="K1064" s="1" t="n">
        <f aca="false">IF(Search!$D$5="",0,IF(AND(OR(Search!$N$5="",ISNUMBER(SEARCH(Search!$N$5,J1064))),OR(Search!$N$6="",ISNUMBER(SEARCH(Search!$N$6,J1064))),OR(Search!$N$7="",ISNUMBER(SEARCH(Search!$N$7,J1064))),OR(Search!$N$8="",ISNUMBER(SEARCH(Search!$N$8,J1064)))),1,0))</f>
        <v>0</v>
      </c>
      <c r="L1064" s="1" t="n">
        <f aca="false">L1063+K1064</f>
        <v>0</v>
      </c>
    </row>
    <row r="1065" customFormat="false" ht="15" hidden="false" customHeight="true" outlineLevel="0" collapsed="false">
      <c r="A1065" s="1" t="s">
        <v>300</v>
      </c>
      <c r="B1065" s="1" t="s">
        <v>1221</v>
      </c>
      <c r="C1065" s="1" t="n">
        <v>10</v>
      </c>
      <c r="E1065" s="1" t="s">
        <v>3086</v>
      </c>
      <c r="F1065" s="1" t="s">
        <v>3087</v>
      </c>
      <c r="G1065" s="1" t="s">
        <v>1045</v>
      </c>
      <c r="H1065" s="1" t="s">
        <v>3088</v>
      </c>
      <c r="I1065" s="1" t="s">
        <v>3089</v>
      </c>
      <c r="J1065" s="1" t="s">
        <v>3090</v>
      </c>
      <c r="K1065" s="1" t="n">
        <f aca="false">IF(Search!$D$5="",0,IF(AND(OR(Search!$N$5="",ISNUMBER(SEARCH(Search!$N$5,J1065))),OR(Search!$N$6="",ISNUMBER(SEARCH(Search!$N$6,J1065))),OR(Search!$N$7="",ISNUMBER(SEARCH(Search!$N$7,J1065))),OR(Search!$N$8="",ISNUMBER(SEARCH(Search!$N$8,J1065)))),1,0))</f>
        <v>0</v>
      </c>
      <c r="L1065" s="1" t="n">
        <f aca="false">L1064+K1065</f>
        <v>0</v>
      </c>
    </row>
    <row r="1066" customFormat="false" ht="15" hidden="false" customHeight="true" outlineLevel="0" collapsed="false">
      <c r="A1066" s="1" t="s">
        <v>300</v>
      </c>
      <c r="B1066" s="1" t="s">
        <v>1221</v>
      </c>
      <c r="C1066" s="1" t="n">
        <v>11</v>
      </c>
      <c r="E1066" s="1" t="s">
        <v>2081</v>
      </c>
      <c r="F1066" s="1" t="s">
        <v>524</v>
      </c>
      <c r="G1066" s="1" t="s">
        <v>2838</v>
      </c>
      <c r="H1066" s="1" t="s">
        <v>3091</v>
      </c>
      <c r="I1066" s="1" t="s">
        <v>3092</v>
      </c>
      <c r="J1066" s="1" t="s">
        <v>3093</v>
      </c>
      <c r="K1066" s="1" t="n">
        <f aca="false">IF(Search!$D$5="",0,IF(AND(OR(Search!$N$5="",ISNUMBER(SEARCH(Search!$N$5,J1066))),OR(Search!$N$6="",ISNUMBER(SEARCH(Search!$N$6,J1066))),OR(Search!$N$7="",ISNUMBER(SEARCH(Search!$N$7,J1066))),OR(Search!$N$8="",ISNUMBER(SEARCH(Search!$N$8,J1066)))),1,0))</f>
        <v>0</v>
      </c>
      <c r="L1066" s="1" t="n">
        <f aca="false">L1065+K1066</f>
        <v>0</v>
      </c>
    </row>
    <row r="1067" customFormat="false" ht="15" hidden="false" customHeight="true" outlineLevel="0" collapsed="false">
      <c r="A1067" s="1" t="s">
        <v>300</v>
      </c>
      <c r="B1067" s="1" t="s">
        <v>1221</v>
      </c>
      <c r="C1067" s="1" t="n">
        <v>12</v>
      </c>
      <c r="E1067" s="1" t="s">
        <v>2081</v>
      </c>
      <c r="F1067" s="1" t="s">
        <v>524</v>
      </c>
      <c r="G1067" s="1" t="s">
        <v>1862</v>
      </c>
      <c r="H1067" s="1" t="s">
        <v>3094</v>
      </c>
      <c r="I1067" s="1" t="s">
        <v>3095</v>
      </c>
      <c r="J1067" s="1" t="s">
        <v>3096</v>
      </c>
      <c r="K1067" s="1" t="n">
        <f aca="false">IF(Search!$D$5="",0,IF(AND(OR(Search!$N$5="",ISNUMBER(SEARCH(Search!$N$5,J1067))),OR(Search!$N$6="",ISNUMBER(SEARCH(Search!$N$6,J1067))),OR(Search!$N$7="",ISNUMBER(SEARCH(Search!$N$7,J1067))),OR(Search!$N$8="",ISNUMBER(SEARCH(Search!$N$8,J1067)))),1,0))</f>
        <v>0</v>
      </c>
      <c r="L1067" s="1" t="n">
        <f aca="false">L1066+K1067</f>
        <v>0</v>
      </c>
    </row>
    <row r="1068" customFormat="false" ht="15" hidden="false" customHeight="true" outlineLevel="0" collapsed="false">
      <c r="A1068" s="1" t="s">
        <v>300</v>
      </c>
      <c r="B1068" s="1" t="s">
        <v>1221</v>
      </c>
      <c r="C1068" s="1" t="n">
        <v>13</v>
      </c>
      <c r="E1068" s="1" t="s">
        <v>3097</v>
      </c>
      <c r="F1068" s="1" t="s">
        <v>3098</v>
      </c>
      <c r="G1068" s="1" t="s">
        <v>1045</v>
      </c>
      <c r="H1068" s="1" t="s">
        <v>3099</v>
      </c>
      <c r="I1068" s="1" t="s">
        <v>3100</v>
      </c>
      <c r="J1068" s="1" t="s">
        <v>3101</v>
      </c>
      <c r="K1068" s="1" t="n">
        <f aca="false">IF(Search!$D$5="",0,IF(AND(OR(Search!$N$5="",ISNUMBER(SEARCH(Search!$N$5,J1068))),OR(Search!$N$6="",ISNUMBER(SEARCH(Search!$N$6,J1068))),OR(Search!$N$7="",ISNUMBER(SEARCH(Search!$N$7,J1068))),OR(Search!$N$8="",ISNUMBER(SEARCH(Search!$N$8,J1068)))),1,0))</f>
        <v>0</v>
      </c>
      <c r="L1068" s="1" t="n">
        <f aca="false">L1067+K1068</f>
        <v>0</v>
      </c>
    </row>
    <row r="1069" customFormat="false" ht="15" hidden="false" customHeight="true" outlineLevel="0" collapsed="false">
      <c r="A1069" s="1" t="s">
        <v>300</v>
      </c>
      <c r="B1069" s="1" t="s">
        <v>1221</v>
      </c>
      <c r="C1069" s="1" t="n">
        <v>14</v>
      </c>
      <c r="E1069" s="1" t="s">
        <v>580</v>
      </c>
      <c r="F1069" s="1" t="s">
        <v>524</v>
      </c>
      <c r="G1069" s="1" t="s">
        <v>2838</v>
      </c>
      <c r="H1069" s="1" t="s">
        <v>3102</v>
      </c>
      <c r="I1069" s="1" t="s">
        <v>3103</v>
      </c>
      <c r="J1069" s="1" t="s">
        <v>3104</v>
      </c>
      <c r="K1069" s="1" t="n">
        <f aca="false">IF(Search!$D$5="",0,IF(AND(OR(Search!$N$5="",ISNUMBER(SEARCH(Search!$N$5,J1069))),OR(Search!$N$6="",ISNUMBER(SEARCH(Search!$N$6,J1069))),OR(Search!$N$7="",ISNUMBER(SEARCH(Search!$N$7,J1069))),OR(Search!$N$8="",ISNUMBER(SEARCH(Search!$N$8,J1069)))),1,0))</f>
        <v>0</v>
      </c>
      <c r="L1069" s="1" t="n">
        <f aca="false">L1068+K1069</f>
        <v>0</v>
      </c>
    </row>
    <row r="1070" customFormat="false" ht="15" hidden="false" customHeight="true" outlineLevel="0" collapsed="false">
      <c r="A1070" s="1" t="s">
        <v>300</v>
      </c>
      <c r="B1070" s="1" t="s">
        <v>1221</v>
      </c>
      <c r="C1070" s="1" t="n">
        <v>15</v>
      </c>
      <c r="E1070" s="1" t="s">
        <v>580</v>
      </c>
      <c r="F1070" s="1" t="s">
        <v>524</v>
      </c>
      <c r="G1070" s="1" t="s">
        <v>1862</v>
      </c>
      <c r="H1070" s="1" t="s">
        <v>3105</v>
      </c>
      <c r="I1070" s="1" t="s">
        <v>3106</v>
      </c>
      <c r="J1070" s="1" t="s">
        <v>3107</v>
      </c>
      <c r="K1070" s="1" t="n">
        <f aca="false">IF(Search!$D$5="",0,IF(AND(OR(Search!$N$5="",ISNUMBER(SEARCH(Search!$N$5,J1070))),OR(Search!$N$6="",ISNUMBER(SEARCH(Search!$N$6,J1070))),OR(Search!$N$7="",ISNUMBER(SEARCH(Search!$N$7,J1070))),OR(Search!$N$8="",ISNUMBER(SEARCH(Search!$N$8,J1070)))),1,0))</f>
        <v>0</v>
      </c>
      <c r="L1070" s="1" t="n">
        <f aca="false">L1069+K1070</f>
        <v>0</v>
      </c>
    </row>
    <row r="1071" customFormat="false" ht="15" hidden="false" customHeight="true" outlineLevel="0" collapsed="false">
      <c r="A1071" s="1" t="s">
        <v>300</v>
      </c>
      <c r="B1071" s="1" t="s">
        <v>1221</v>
      </c>
      <c r="C1071" s="1" t="n">
        <v>16</v>
      </c>
      <c r="E1071" s="1" t="s">
        <v>1819</v>
      </c>
      <c r="F1071" s="1" t="s">
        <v>3108</v>
      </c>
      <c r="G1071" s="1" t="s">
        <v>1045</v>
      </c>
      <c r="H1071" s="1" t="s">
        <v>3109</v>
      </c>
      <c r="I1071" s="1" t="s">
        <v>3110</v>
      </c>
      <c r="J1071" s="1" t="s">
        <v>3111</v>
      </c>
      <c r="K1071" s="1" t="n">
        <f aca="false">IF(Search!$D$5="",0,IF(AND(OR(Search!$N$5="",ISNUMBER(SEARCH(Search!$N$5,J1071))),OR(Search!$N$6="",ISNUMBER(SEARCH(Search!$N$6,J1071))),OR(Search!$N$7="",ISNUMBER(SEARCH(Search!$N$7,J1071))),OR(Search!$N$8="",ISNUMBER(SEARCH(Search!$N$8,J1071)))),1,0))</f>
        <v>0</v>
      </c>
      <c r="L1071" s="1" t="n">
        <f aca="false">L1070+K1071</f>
        <v>0</v>
      </c>
    </row>
    <row r="1072" customFormat="false" ht="15" hidden="false" customHeight="true" outlineLevel="0" collapsed="false">
      <c r="A1072" s="1" t="s">
        <v>300</v>
      </c>
      <c r="B1072" s="1" t="s">
        <v>1221</v>
      </c>
      <c r="C1072" s="1" t="n">
        <v>17</v>
      </c>
      <c r="E1072" s="1" t="s">
        <v>2168</v>
      </c>
      <c r="F1072" s="1" t="s">
        <v>524</v>
      </c>
      <c r="G1072" s="1" t="s">
        <v>2838</v>
      </c>
      <c r="H1072" s="1" t="s">
        <v>3112</v>
      </c>
      <c r="I1072" s="1" t="s">
        <v>3113</v>
      </c>
      <c r="J1072" s="1" t="s">
        <v>3114</v>
      </c>
      <c r="K1072" s="1" t="n">
        <f aca="false">IF(Search!$D$5="",0,IF(AND(OR(Search!$N$5="",ISNUMBER(SEARCH(Search!$N$5,J1072))),OR(Search!$N$6="",ISNUMBER(SEARCH(Search!$N$6,J1072))),OR(Search!$N$7="",ISNUMBER(SEARCH(Search!$N$7,J1072))),OR(Search!$N$8="",ISNUMBER(SEARCH(Search!$N$8,J1072)))),1,0))</f>
        <v>0</v>
      </c>
      <c r="L1072" s="1" t="n">
        <f aca="false">L1071+K1072</f>
        <v>0</v>
      </c>
    </row>
    <row r="1073" customFormat="false" ht="15" hidden="false" customHeight="true" outlineLevel="0" collapsed="false">
      <c r="A1073" s="1" t="s">
        <v>300</v>
      </c>
      <c r="B1073" s="1" t="s">
        <v>1221</v>
      </c>
      <c r="C1073" s="1" t="n">
        <v>18</v>
      </c>
      <c r="E1073" s="1" t="s">
        <v>2168</v>
      </c>
      <c r="F1073" s="1" t="s">
        <v>524</v>
      </c>
      <c r="G1073" s="1" t="s">
        <v>1862</v>
      </c>
      <c r="H1073" s="1" t="s">
        <v>3115</v>
      </c>
      <c r="I1073" s="1" t="s">
        <v>3116</v>
      </c>
      <c r="J1073" s="1" t="s">
        <v>3117</v>
      </c>
      <c r="K1073" s="1" t="n">
        <f aca="false">IF(Search!$D$5="",0,IF(AND(OR(Search!$N$5="",ISNUMBER(SEARCH(Search!$N$5,J1073))),OR(Search!$N$6="",ISNUMBER(SEARCH(Search!$N$6,J1073))),OR(Search!$N$7="",ISNUMBER(SEARCH(Search!$N$7,J1073))),OR(Search!$N$8="",ISNUMBER(SEARCH(Search!$N$8,J1073)))),1,0))</f>
        <v>0</v>
      </c>
      <c r="L1073" s="1" t="n">
        <f aca="false">L1072+K1073</f>
        <v>0</v>
      </c>
    </row>
    <row r="1074" customFormat="false" ht="15" hidden="false" customHeight="true" outlineLevel="0" collapsed="false">
      <c r="A1074" s="1" t="s">
        <v>300</v>
      </c>
      <c r="B1074" s="1" t="s">
        <v>1221</v>
      </c>
      <c r="C1074" s="1" t="n">
        <v>19</v>
      </c>
      <c r="E1074" s="1" t="s">
        <v>2168</v>
      </c>
      <c r="F1074" s="1" t="s">
        <v>524</v>
      </c>
      <c r="G1074" s="1" t="s">
        <v>2860</v>
      </c>
      <c r="H1074" s="1" t="s">
        <v>3118</v>
      </c>
      <c r="I1074" s="1" t="s">
        <v>3119</v>
      </c>
      <c r="J1074" s="1" t="s">
        <v>3120</v>
      </c>
      <c r="K1074" s="1" t="n">
        <f aca="false">IF(Search!$D$5="",0,IF(AND(OR(Search!$N$5="",ISNUMBER(SEARCH(Search!$N$5,J1074))),OR(Search!$N$6="",ISNUMBER(SEARCH(Search!$N$6,J1074))),OR(Search!$N$7="",ISNUMBER(SEARCH(Search!$N$7,J1074))),OR(Search!$N$8="",ISNUMBER(SEARCH(Search!$N$8,J1074)))),1,0))</f>
        <v>0</v>
      </c>
      <c r="L1074" s="1" t="n">
        <f aca="false">L1073+K1074</f>
        <v>0</v>
      </c>
    </row>
    <row r="1075" customFormat="false" ht="15" hidden="false" customHeight="true" outlineLevel="0" collapsed="false">
      <c r="A1075" s="1" t="s">
        <v>300</v>
      </c>
      <c r="B1075" s="1" t="s">
        <v>1221</v>
      </c>
      <c r="C1075" s="1" t="n">
        <v>20</v>
      </c>
      <c r="E1075" s="1" t="s">
        <v>2168</v>
      </c>
      <c r="F1075" s="1" t="s">
        <v>524</v>
      </c>
      <c r="G1075" s="1" t="s">
        <v>1409</v>
      </c>
      <c r="H1075" s="1" t="s">
        <v>1862</v>
      </c>
      <c r="I1075" s="1" t="s">
        <v>1863</v>
      </c>
      <c r="J1075" s="1" t="s">
        <v>3121</v>
      </c>
      <c r="K1075" s="1" t="n">
        <f aca="false">IF(Search!$D$5="",0,IF(AND(OR(Search!$N$5="",ISNUMBER(SEARCH(Search!$N$5,J1075))),OR(Search!$N$6="",ISNUMBER(SEARCH(Search!$N$6,J1075))),OR(Search!$N$7="",ISNUMBER(SEARCH(Search!$N$7,J1075))),OR(Search!$N$8="",ISNUMBER(SEARCH(Search!$N$8,J1075)))),1,0))</f>
        <v>0</v>
      </c>
      <c r="L1075" s="1" t="n">
        <f aca="false">L1074+K1075</f>
        <v>0</v>
      </c>
    </row>
    <row r="1076" customFormat="false" ht="15" hidden="false" customHeight="true" outlineLevel="0" collapsed="false">
      <c r="A1076" s="1" t="s">
        <v>300</v>
      </c>
      <c r="B1076" s="1" t="s">
        <v>1221</v>
      </c>
      <c r="C1076" s="1" t="n">
        <v>21</v>
      </c>
      <c r="E1076" s="1" t="s">
        <v>2168</v>
      </c>
      <c r="F1076" s="1" t="s">
        <v>524</v>
      </c>
      <c r="G1076" s="1" t="s">
        <v>987</v>
      </c>
      <c r="H1076" s="1" t="s">
        <v>1520</v>
      </c>
      <c r="I1076" s="1" t="s">
        <v>1521</v>
      </c>
      <c r="J1076" s="1" t="s">
        <v>3122</v>
      </c>
      <c r="K1076" s="1" t="n">
        <f aca="false">IF(Search!$D$5="",0,IF(AND(OR(Search!$N$5="",ISNUMBER(SEARCH(Search!$N$5,J1076))),OR(Search!$N$6="",ISNUMBER(SEARCH(Search!$N$6,J1076))),OR(Search!$N$7="",ISNUMBER(SEARCH(Search!$N$7,J1076))),OR(Search!$N$8="",ISNUMBER(SEARCH(Search!$N$8,J1076)))),1,0))</f>
        <v>0</v>
      </c>
      <c r="L1076" s="1" t="n">
        <f aca="false">L1075+K1076</f>
        <v>0</v>
      </c>
    </row>
    <row r="1077" customFormat="false" ht="15" hidden="false" customHeight="true" outlineLevel="0" collapsed="false">
      <c r="A1077" s="1" t="s">
        <v>300</v>
      </c>
      <c r="B1077" s="1" t="s">
        <v>1221</v>
      </c>
      <c r="C1077" s="1" t="n">
        <v>22</v>
      </c>
      <c r="E1077" s="1" t="s">
        <v>2168</v>
      </c>
      <c r="F1077" s="1" t="s">
        <v>524</v>
      </c>
      <c r="G1077" s="1" t="s">
        <v>2358</v>
      </c>
      <c r="H1077" s="1" t="s">
        <v>1562</v>
      </c>
      <c r="I1077" s="1" t="s">
        <v>1563</v>
      </c>
      <c r="J1077" s="1" t="s">
        <v>3123</v>
      </c>
      <c r="K1077" s="1" t="n">
        <f aca="false">IF(Search!$D$5="",0,IF(AND(OR(Search!$N$5="",ISNUMBER(SEARCH(Search!$N$5,J1077))),OR(Search!$N$6="",ISNUMBER(SEARCH(Search!$N$6,J1077))),OR(Search!$N$7="",ISNUMBER(SEARCH(Search!$N$7,J1077))),OR(Search!$N$8="",ISNUMBER(SEARCH(Search!$N$8,J1077)))),1,0))</f>
        <v>0</v>
      </c>
      <c r="L1077" s="1" t="n">
        <f aca="false">L1076+K1077</f>
        <v>0</v>
      </c>
    </row>
    <row r="1078" customFormat="false" ht="15" hidden="false" customHeight="true" outlineLevel="0" collapsed="false">
      <c r="A1078" s="1" t="s">
        <v>300</v>
      </c>
      <c r="B1078" s="1" t="s">
        <v>1221</v>
      </c>
      <c r="C1078" s="1" t="n">
        <v>23</v>
      </c>
      <c r="E1078" s="1" t="s">
        <v>1842</v>
      </c>
      <c r="F1078" s="1" t="s">
        <v>524</v>
      </c>
      <c r="G1078" s="1" t="s">
        <v>2838</v>
      </c>
      <c r="H1078" s="1" t="s">
        <v>3124</v>
      </c>
      <c r="I1078" s="1" t="s">
        <v>3125</v>
      </c>
      <c r="J1078" s="1" t="s">
        <v>3126</v>
      </c>
      <c r="K1078" s="1" t="n">
        <f aca="false">IF(Search!$D$5="",0,IF(AND(OR(Search!$N$5="",ISNUMBER(SEARCH(Search!$N$5,J1078))),OR(Search!$N$6="",ISNUMBER(SEARCH(Search!$N$6,J1078))),OR(Search!$N$7="",ISNUMBER(SEARCH(Search!$N$7,J1078))),OR(Search!$N$8="",ISNUMBER(SEARCH(Search!$N$8,J1078)))),1,0))</f>
        <v>0</v>
      </c>
      <c r="L1078" s="1" t="n">
        <f aca="false">L1077+K1078</f>
        <v>0</v>
      </c>
    </row>
    <row r="1079" customFormat="false" ht="15" hidden="false" customHeight="true" outlineLevel="0" collapsed="false">
      <c r="A1079" s="1" t="s">
        <v>300</v>
      </c>
      <c r="B1079" s="1" t="s">
        <v>1221</v>
      </c>
      <c r="C1079" s="1" t="n">
        <v>24</v>
      </c>
      <c r="E1079" s="1" t="s">
        <v>1959</v>
      </c>
      <c r="F1079" s="1" t="s">
        <v>524</v>
      </c>
      <c r="G1079" s="1" t="s">
        <v>1862</v>
      </c>
      <c r="H1079" s="1" t="s">
        <v>1459</v>
      </c>
      <c r="I1079" s="1" t="s">
        <v>1460</v>
      </c>
      <c r="J1079" s="1" t="s">
        <v>3127</v>
      </c>
      <c r="K1079" s="1" t="n">
        <f aca="false">IF(Search!$D$5="",0,IF(AND(OR(Search!$N$5="",ISNUMBER(SEARCH(Search!$N$5,J1079))),OR(Search!$N$6="",ISNUMBER(SEARCH(Search!$N$6,J1079))),OR(Search!$N$7="",ISNUMBER(SEARCH(Search!$N$7,J1079))),OR(Search!$N$8="",ISNUMBER(SEARCH(Search!$N$8,J1079)))),1,0))</f>
        <v>0</v>
      </c>
      <c r="L1079" s="1" t="n">
        <f aca="false">L1078+K1079</f>
        <v>0</v>
      </c>
    </row>
    <row r="1080" customFormat="false" ht="15" hidden="false" customHeight="true" outlineLevel="0" collapsed="false">
      <c r="A1080" s="1" t="s">
        <v>300</v>
      </c>
      <c r="B1080" s="1" t="s">
        <v>1221</v>
      </c>
      <c r="C1080" s="1" t="n">
        <v>25</v>
      </c>
      <c r="E1080" s="1" t="s">
        <v>1959</v>
      </c>
      <c r="F1080" s="1" t="s">
        <v>524</v>
      </c>
      <c r="G1080" s="1" t="s">
        <v>2860</v>
      </c>
      <c r="H1080" s="1" t="s">
        <v>1513</v>
      </c>
      <c r="I1080" s="1" t="s">
        <v>1502</v>
      </c>
      <c r="J1080" s="1" t="s">
        <v>3128</v>
      </c>
      <c r="K1080" s="1" t="n">
        <f aca="false">IF(Search!$D$5="",0,IF(AND(OR(Search!$N$5="",ISNUMBER(SEARCH(Search!$N$5,J1080))),OR(Search!$N$6="",ISNUMBER(SEARCH(Search!$N$6,J1080))),OR(Search!$N$7="",ISNUMBER(SEARCH(Search!$N$7,J1080))),OR(Search!$N$8="",ISNUMBER(SEARCH(Search!$N$8,J1080)))),1,0))</f>
        <v>0</v>
      </c>
      <c r="L1080" s="1" t="n">
        <f aca="false">L1079+K1080</f>
        <v>0</v>
      </c>
    </row>
    <row r="1081" customFormat="false" ht="15" hidden="false" customHeight="true" outlineLevel="0" collapsed="false">
      <c r="A1081" s="1" t="s">
        <v>300</v>
      </c>
      <c r="B1081" s="1" t="s">
        <v>1221</v>
      </c>
      <c r="C1081" s="1" t="n">
        <v>26</v>
      </c>
      <c r="E1081" s="1" t="s">
        <v>1959</v>
      </c>
      <c r="F1081" s="1" t="s">
        <v>524</v>
      </c>
      <c r="G1081" s="1" t="s">
        <v>1409</v>
      </c>
      <c r="H1081" s="1" t="s">
        <v>3129</v>
      </c>
      <c r="I1081" s="1" t="s">
        <v>3130</v>
      </c>
      <c r="J1081" s="1" t="s">
        <v>3131</v>
      </c>
      <c r="K1081" s="1" t="n">
        <f aca="false">IF(Search!$D$5="",0,IF(AND(OR(Search!$N$5="",ISNUMBER(SEARCH(Search!$N$5,J1081))),OR(Search!$N$6="",ISNUMBER(SEARCH(Search!$N$6,J1081))),OR(Search!$N$7="",ISNUMBER(SEARCH(Search!$N$7,J1081))),OR(Search!$N$8="",ISNUMBER(SEARCH(Search!$N$8,J1081)))),1,0))</f>
        <v>0</v>
      </c>
      <c r="L1081" s="1" t="n">
        <f aca="false">L1080+K1081</f>
        <v>0</v>
      </c>
    </row>
    <row r="1082" customFormat="false" ht="15" hidden="false" customHeight="true" outlineLevel="0" collapsed="false">
      <c r="A1082" s="1" t="s">
        <v>300</v>
      </c>
      <c r="B1082" s="1" t="s">
        <v>1221</v>
      </c>
      <c r="C1082" s="1" t="n">
        <v>27</v>
      </c>
      <c r="E1082" s="1" t="s">
        <v>1959</v>
      </c>
      <c r="F1082" s="1" t="s">
        <v>524</v>
      </c>
      <c r="G1082" s="1" t="s">
        <v>987</v>
      </c>
      <c r="H1082" s="1" t="s">
        <v>3132</v>
      </c>
      <c r="I1082" s="1" t="s">
        <v>3133</v>
      </c>
      <c r="J1082" s="1" t="s">
        <v>3134</v>
      </c>
      <c r="K1082" s="1" t="n">
        <f aca="false">IF(Search!$D$5="",0,IF(AND(OR(Search!$N$5="",ISNUMBER(SEARCH(Search!$N$5,J1082))),OR(Search!$N$6="",ISNUMBER(SEARCH(Search!$N$6,J1082))),OR(Search!$N$7="",ISNUMBER(SEARCH(Search!$N$7,J1082))),OR(Search!$N$8="",ISNUMBER(SEARCH(Search!$N$8,J1082)))),1,0))</f>
        <v>0</v>
      </c>
      <c r="L1082" s="1" t="n">
        <f aca="false">L1081+K1082</f>
        <v>0</v>
      </c>
    </row>
    <row r="1083" customFormat="false" ht="15" hidden="false" customHeight="true" outlineLevel="0" collapsed="false">
      <c r="A1083" s="1" t="s">
        <v>300</v>
      </c>
      <c r="B1083" s="1" t="s">
        <v>1221</v>
      </c>
      <c r="C1083" s="1" t="n">
        <v>28</v>
      </c>
      <c r="E1083" s="1" t="s">
        <v>1959</v>
      </c>
      <c r="F1083" s="1" t="s">
        <v>524</v>
      </c>
      <c r="G1083" s="1" t="s">
        <v>2358</v>
      </c>
      <c r="H1083" s="1" t="s">
        <v>3135</v>
      </c>
      <c r="I1083" s="1" t="s">
        <v>3136</v>
      </c>
      <c r="J1083" s="1" t="s">
        <v>3137</v>
      </c>
      <c r="K1083" s="1" t="n">
        <f aca="false">IF(Search!$D$5="",0,IF(AND(OR(Search!$N$5="",ISNUMBER(SEARCH(Search!$N$5,J1083))),OR(Search!$N$6="",ISNUMBER(SEARCH(Search!$N$6,J1083))),OR(Search!$N$7="",ISNUMBER(SEARCH(Search!$N$7,J1083))),OR(Search!$N$8="",ISNUMBER(SEARCH(Search!$N$8,J1083)))),1,0))</f>
        <v>0</v>
      </c>
      <c r="L1083" s="1" t="n">
        <f aca="false">L1082+K1083</f>
        <v>0</v>
      </c>
    </row>
    <row r="1084" customFormat="false" ht="15" hidden="false" customHeight="true" outlineLevel="0" collapsed="false">
      <c r="A1084" s="1" t="s">
        <v>300</v>
      </c>
      <c r="B1084" s="1" t="s">
        <v>1221</v>
      </c>
      <c r="C1084" s="1" t="n">
        <v>29</v>
      </c>
      <c r="E1084" s="1" t="s">
        <v>3138</v>
      </c>
      <c r="F1084" s="1" t="s">
        <v>3139</v>
      </c>
      <c r="G1084" s="1" t="s">
        <v>2838</v>
      </c>
      <c r="H1084" s="1" t="s">
        <v>3140</v>
      </c>
      <c r="I1084" s="1" t="s">
        <v>2744</v>
      </c>
      <c r="J1084" s="1" t="s">
        <v>3141</v>
      </c>
      <c r="K1084" s="1" t="n">
        <f aca="false">IF(Search!$D$5="",0,IF(AND(OR(Search!$N$5="",ISNUMBER(SEARCH(Search!$N$5,J1084))),OR(Search!$N$6="",ISNUMBER(SEARCH(Search!$N$6,J1084))),OR(Search!$N$7="",ISNUMBER(SEARCH(Search!$N$7,J1084))),OR(Search!$N$8="",ISNUMBER(SEARCH(Search!$N$8,J1084)))),1,0))</f>
        <v>0</v>
      </c>
      <c r="L1084" s="1" t="n">
        <f aca="false">L1083+K1084</f>
        <v>0</v>
      </c>
    </row>
    <row r="1085" customFormat="false" ht="15" hidden="false" customHeight="true" outlineLevel="0" collapsed="false">
      <c r="A1085" s="1" t="s">
        <v>300</v>
      </c>
      <c r="B1085" s="1" t="s">
        <v>1221</v>
      </c>
      <c r="C1085" s="1" t="n">
        <v>30</v>
      </c>
      <c r="E1085" s="1" t="s">
        <v>982</v>
      </c>
      <c r="F1085" s="1" t="s">
        <v>524</v>
      </c>
      <c r="G1085" s="1" t="s">
        <v>1862</v>
      </c>
      <c r="H1085" s="1" t="s">
        <v>1463</v>
      </c>
      <c r="I1085" s="1" t="s">
        <v>1464</v>
      </c>
      <c r="J1085" s="1" t="s">
        <v>3142</v>
      </c>
      <c r="K1085" s="1" t="n">
        <f aca="false">IF(Search!$D$5="",0,IF(AND(OR(Search!$N$5="",ISNUMBER(SEARCH(Search!$N$5,J1085))),OR(Search!$N$6="",ISNUMBER(SEARCH(Search!$N$6,J1085))),OR(Search!$N$7="",ISNUMBER(SEARCH(Search!$N$7,J1085))),OR(Search!$N$8="",ISNUMBER(SEARCH(Search!$N$8,J1085)))),1,0))</f>
        <v>0</v>
      </c>
      <c r="L1085" s="1" t="n">
        <f aca="false">L1084+K1085</f>
        <v>0</v>
      </c>
    </row>
    <row r="1086" customFormat="false" ht="15" hidden="false" customHeight="true" outlineLevel="0" collapsed="false">
      <c r="A1086" s="1" t="s">
        <v>300</v>
      </c>
      <c r="B1086" s="1" t="s">
        <v>1221</v>
      </c>
      <c r="C1086" s="1" t="n">
        <v>31</v>
      </c>
      <c r="E1086" s="1" t="s">
        <v>982</v>
      </c>
      <c r="F1086" s="1" t="s">
        <v>524</v>
      </c>
      <c r="G1086" s="1" t="s">
        <v>2860</v>
      </c>
      <c r="H1086" s="1" t="s">
        <v>3143</v>
      </c>
      <c r="I1086" s="1" t="s">
        <v>3144</v>
      </c>
      <c r="J1086" s="1" t="s">
        <v>3145</v>
      </c>
      <c r="K1086" s="1" t="n">
        <f aca="false">IF(Search!$D$5="",0,IF(AND(OR(Search!$N$5="",ISNUMBER(SEARCH(Search!$N$5,J1086))),OR(Search!$N$6="",ISNUMBER(SEARCH(Search!$N$6,J1086))),OR(Search!$N$7="",ISNUMBER(SEARCH(Search!$N$7,J1086))),OR(Search!$N$8="",ISNUMBER(SEARCH(Search!$N$8,J1086)))),1,0))</f>
        <v>0</v>
      </c>
      <c r="L1086" s="1" t="n">
        <f aca="false">L1085+K1086</f>
        <v>0</v>
      </c>
    </row>
    <row r="1087" customFormat="false" ht="15" hidden="false" customHeight="true" outlineLevel="0" collapsed="false">
      <c r="A1087" s="1" t="s">
        <v>300</v>
      </c>
      <c r="B1087" s="1" t="s">
        <v>1221</v>
      </c>
      <c r="C1087" s="1" t="n">
        <v>32</v>
      </c>
      <c r="E1087" s="1" t="s">
        <v>982</v>
      </c>
      <c r="F1087" s="1" t="s">
        <v>524</v>
      </c>
      <c r="G1087" s="1" t="s">
        <v>2543</v>
      </c>
      <c r="H1087" s="1" t="s">
        <v>3146</v>
      </c>
      <c r="I1087" s="1" t="s">
        <v>3147</v>
      </c>
      <c r="J1087" s="1" t="s">
        <v>3148</v>
      </c>
      <c r="K1087" s="1" t="n">
        <f aca="false">IF(Search!$D$5="",0,IF(AND(OR(Search!$N$5="",ISNUMBER(SEARCH(Search!$N$5,J1087))),OR(Search!$N$6="",ISNUMBER(SEARCH(Search!$N$6,J1087))),OR(Search!$N$7="",ISNUMBER(SEARCH(Search!$N$7,J1087))),OR(Search!$N$8="",ISNUMBER(SEARCH(Search!$N$8,J1087)))),1,0))</f>
        <v>0</v>
      </c>
      <c r="L1087" s="1" t="n">
        <f aca="false">L1086+K1087</f>
        <v>0</v>
      </c>
    </row>
    <row r="1088" customFormat="false" ht="15" hidden="false" customHeight="true" outlineLevel="0" collapsed="false">
      <c r="A1088" s="1" t="s">
        <v>300</v>
      </c>
      <c r="B1088" s="1" t="s">
        <v>1221</v>
      </c>
      <c r="C1088" s="1" t="n">
        <v>33</v>
      </c>
      <c r="E1088" s="1" t="s">
        <v>982</v>
      </c>
      <c r="F1088" s="1" t="s">
        <v>524</v>
      </c>
      <c r="G1088" s="1" t="s">
        <v>1409</v>
      </c>
      <c r="H1088" s="1" t="s">
        <v>3149</v>
      </c>
      <c r="I1088" s="1" t="s">
        <v>3150</v>
      </c>
      <c r="J1088" s="1" t="s">
        <v>3151</v>
      </c>
      <c r="K1088" s="1" t="n">
        <f aca="false">IF(Search!$D$5="",0,IF(AND(OR(Search!$N$5="",ISNUMBER(SEARCH(Search!$N$5,J1088))),OR(Search!$N$6="",ISNUMBER(SEARCH(Search!$N$6,J1088))),OR(Search!$N$7="",ISNUMBER(SEARCH(Search!$N$7,J1088))),OR(Search!$N$8="",ISNUMBER(SEARCH(Search!$N$8,J1088)))),1,0))</f>
        <v>0</v>
      </c>
      <c r="L1088" s="1" t="n">
        <f aca="false">L1087+K1088</f>
        <v>0</v>
      </c>
    </row>
    <row r="1089" customFormat="false" ht="15" hidden="false" customHeight="true" outlineLevel="0" collapsed="false">
      <c r="A1089" s="1" t="s">
        <v>300</v>
      </c>
      <c r="B1089" s="1" t="s">
        <v>1221</v>
      </c>
      <c r="C1089" s="1" t="n">
        <v>34</v>
      </c>
      <c r="E1089" s="1" t="s">
        <v>982</v>
      </c>
      <c r="F1089" s="1" t="s">
        <v>524</v>
      </c>
      <c r="G1089" s="1" t="s">
        <v>987</v>
      </c>
      <c r="H1089" s="1" t="s">
        <v>3152</v>
      </c>
      <c r="I1089" s="1" t="s">
        <v>3153</v>
      </c>
      <c r="J1089" s="1" t="s">
        <v>3154</v>
      </c>
      <c r="K1089" s="1" t="n">
        <f aca="false">IF(Search!$D$5="",0,IF(AND(OR(Search!$N$5="",ISNUMBER(SEARCH(Search!$N$5,J1089))),OR(Search!$N$6="",ISNUMBER(SEARCH(Search!$N$6,J1089))),OR(Search!$N$7="",ISNUMBER(SEARCH(Search!$N$7,J1089))),OR(Search!$N$8="",ISNUMBER(SEARCH(Search!$N$8,J1089)))),1,0))</f>
        <v>0</v>
      </c>
      <c r="L1089" s="1" t="n">
        <f aca="false">L1088+K1089</f>
        <v>0</v>
      </c>
    </row>
    <row r="1090" customFormat="false" ht="15" hidden="false" customHeight="true" outlineLevel="0" collapsed="false">
      <c r="A1090" s="1" t="s">
        <v>300</v>
      </c>
      <c r="B1090" s="1" t="s">
        <v>1221</v>
      </c>
      <c r="C1090" s="1" t="n">
        <v>35</v>
      </c>
      <c r="E1090" s="1" t="s">
        <v>982</v>
      </c>
      <c r="F1090" s="1" t="s">
        <v>524</v>
      </c>
      <c r="G1090" s="1" t="s">
        <v>2358</v>
      </c>
      <c r="H1090" s="1" t="s">
        <v>3155</v>
      </c>
      <c r="I1090" s="1" t="s">
        <v>3156</v>
      </c>
      <c r="J1090" s="1" t="s">
        <v>3157</v>
      </c>
      <c r="K1090" s="1" t="n">
        <f aca="false">IF(Search!$D$5="",0,IF(AND(OR(Search!$N$5="",ISNUMBER(SEARCH(Search!$N$5,J1090))),OR(Search!$N$6="",ISNUMBER(SEARCH(Search!$N$6,J1090))),OR(Search!$N$7="",ISNUMBER(SEARCH(Search!$N$7,J1090))),OR(Search!$N$8="",ISNUMBER(SEARCH(Search!$N$8,J1090)))),1,0))</f>
        <v>0</v>
      </c>
      <c r="L1090" s="1" t="n">
        <f aca="false">L1089+K1090</f>
        <v>0</v>
      </c>
    </row>
    <row r="1091" customFormat="false" ht="15" hidden="false" customHeight="true" outlineLevel="0" collapsed="false">
      <c r="A1091" s="1" t="s">
        <v>300</v>
      </c>
      <c r="B1091" s="1" t="s">
        <v>1221</v>
      </c>
      <c r="C1091" s="1" t="n">
        <v>36</v>
      </c>
      <c r="E1091" s="1" t="s">
        <v>1858</v>
      </c>
      <c r="F1091" s="1" t="s">
        <v>3158</v>
      </c>
      <c r="G1091" s="1" t="s">
        <v>2838</v>
      </c>
      <c r="H1091" s="1" t="s">
        <v>3159</v>
      </c>
      <c r="I1091" s="1" t="s">
        <v>2032</v>
      </c>
      <c r="J1091" s="1" t="s">
        <v>3160</v>
      </c>
      <c r="K1091" s="1" t="n">
        <f aca="false">IF(Search!$D$5="",0,IF(AND(OR(Search!$N$5="",ISNUMBER(SEARCH(Search!$N$5,J1091))),OR(Search!$N$6="",ISNUMBER(SEARCH(Search!$N$6,J1091))),OR(Search!$N$7="",ISNUMBER(SEARCH(Search!$N$7,J1091))),OR(Search!$N$8="",ISNUMBER(SEARCH(Search!$N$8,J1091)))),1,0))</f>
        <v>0</v>
      </c>
      <c r="L1091" s="1" t="n">
        <f aca="false">L1090+K1091</f>
        <v>0</v>
      </c>
    </row>
    <row r="1092" customFormat="false" ht="15" hidden="false" customHeight="true" outlineLevel="0" collapsed="false">
      <c r="A1092" s="1" t="s">
        <v>300</v>
      </c>
      <c r="B1092" s="1" t="s">
        <v>1221</v>
      </c>
      <c r="C1092" s="1" t="n">
        <v>37</v>
      </c>
      <c r="E1092" s="1" t="s">
        <v>3161</v>
      </c>
      <c r="F1092" s="1" t="s">
        <v>524</v>
      </c>
      <c r="G1092" s="1" t="s">
        <v>1862</v>
      </c>
      <c r="H1092" s="1" t="s">
        <v>3162</v>
      </c>
      <c r="I1092" s="1" t="s">
        <v>3163</v>
      </c>
      <c r="J1092" s="1" t="s">
        <v>3164</v>
      </c>
      <c r="K1092" s="1" t="n">
        <f aca="false">IF(Search!$D$5="",0,IF(AND(OR(Search!$N$5="",ISNUMBER(SEARCH(Search!$N$5,J1092))),OR(Search!$N$6="",ISNUMBER(SEARCH(Search!$N$6,J1092))),OR(Search!$N$7="",ISNUMBER(SEARCH(Search!$N$7,J1092))),OR(Search!$N$8="",ISNUMBER(SEARCH(Search!$N$8,J1092)))),1,0))</f>
        <v>0</v>
      </c>
      <c r="L1092" s="1" t="n">
        <f aca="false">L1091+K1092</f>
        <v>0</v>
      </c>
    </row>
    <row r="1093" customFormat="false" ht="15" hidden="false" customHeight="true" outlineLevel="0" collapsed="false">
      <c r="A1093" s="1" t="s">
        <v>300</v>
      </c>
      <c r="B1093" s="1" t="s">
        <v>1221</v>
      </c>
      <c r="C1093" s="1" t="n">
        <v>38</v>
      </c>
      <c r="E1093" s="1" t="s">
        <v>3161</v>
      </c>
      <c r="F1093" s="1" t="s">
        <v>524</v>
      </c>
      <c r="G1093" s="1" t="s">
        <v>2860</v>
      </c>
      <c r="H1093" s="1" t="s">
        <v>3165</v>
      </c>
      <c r="I1093" s="1" t="s">
        <v>3166</v>
      </c>
      <c r="J1093" s="1" t="s">
        <v>3167</v>
      </c>
      <c r="K1093" s="1" t="n">
        <f aca="false">IF(Search!$D$5="",0,IF(AND(OR(Search!$N$5="",ISNUMBER(SEARCH(Search!$N$5,J1093))),OR(Search!$N$6="",ISNUMBER(SEARCH(Search!$N$6,J1093))),OR(Search!$N$7="",ISNUMBER(SEARCH(Search!$N$7,J1093))),OR(Search!$N$8="",ISNUMBER(SEARCH(Search!$N$8,J1093)))),1,0))</f>
        <v>0</v>
      </c>
      <c r="L1093" s="1" t="n">
        <f aca="false">L1092+K1093</f>
        <v>0</v>
      </c>
    </row>
    <row r="1094" customFormat="false" ht="15" hidden="false" customHeight="true" outlineLevel="0" collapsed="false">
      <c r="A1094" s="1" t="s">
        <v>300</v>
      </c>
      <c r="B1094" s="1" t="s">
        <v>1221</v>
      </c>
      <c r="C1094" s="1" t="n">
        <v>39</v>
      </c>
      <c r="E1094" s="1" t="s">
        <v>1858</v>
      </c>
      <c r="F1094" s="1" t="s">
        <v>3158</v>
      </c>
      <c r="G1094" s="1" t="s">
        <v>2543</v>
      </c>
      <c r="H1094" s="1" t="s">
        <v>3168</v>
      </c>
      <c r="I1094" s="1" t="s">
        <v>3169</v>
      </c>
      <c r="J1094" s="1" t="s">
        <v>3170</v>
      </c>
      <c r="K1094" s="1" t="n">
        <f aca="false">IF(Search!$D$5="",0,IF(AND(OR(Search!$N$5="",ISNUMBER(SEARCH(Search!$N$5,J1094))),OR(Search!$N$6="",ISNUMBER(SEARCH(Search!$N$6,J1094))),OR(Search!$N$7="",ISNUMBER(SEARCH(Search!$N$7,J1094))),OR(Search!$N$8="",ISNUMBER(SEARCH(Search!$N$8,J1094)))),1,0))</f>
        <v>0</v>
      </c>
      <c r="L1094" s="1" t="n">
        <f aca="false">L1093+K1094</f>
        <v>0</v>
      </c>
    </row>
    <row r="1095" customFormat="false" ht="15" hidden="false" customHeight="true" outlineLevel="0" collapsed="false">
      <c r="A1095" s="1" t="s">
        <v>300</v>
      </c>
      <c r="B1095" s="1" t="s">
        <v>1221</v>
      </c>
      <c r="C1095" s="1" t="n">
        <v>40</v>
      </c>
      <c r="E1095" s="1" t="s">
        <v>3161</v>
      </c>
      <c r="F1095" s="1" t="s">
        <v>524</v>
      </c>
      <c r="G1095" s="1" t="s">
        <v>1409</v>
      </c>
      <c r="H1095" s="1" t="s">
        <v>3171</v>
      </c>
      <c r="I1095" s="1" t="s">
        <v>3172</v>
      </c>
      <c r="J1095" s="1" t="s">
        <v>3173</v>
      </c>
      <c r="K1095" s="1" t="n">
        <f aca="false">IF(Search!$D$5="",0,IF(AND(OR(Search!$N$5="",ISNUMBER(SEARCH(Search!$N$5,J1095))),OR(Search!$N$6="",ISNUMBER(SEARCH(Search!$N$6,J1095))),OR(Search!$N$7="",ISNUMBER(SEARCH(Search!$N$7,J1095))),OR(Search!$N$8="",ISNUMBER(SEARCH(Search!$N$8,J1095)))),1,0))</f>
        <v>0</v>
      </c>
      <c r="L1095" s="1" t="n">
        <f aca="false">L1094+K1095</f>
        <v>0</v>
      </c>
    </row>
    <row r="1096" customFormat="false" ht="15" hidden="false" customHeight="true" outlineLevel="0" collapsed="false">
      <c r="A1096" s="1" t="s">
        <v>300</v>
      </c>
      <c r="B1096" s="1" t="s">
        <v>1221</v>
      </c>
      <c r="C1096" s="1" t="n">
        <v>41</v>
      </c>
      <c r="E1096" s="1" t="s">
        <v>3161</v>
      </c>
      <c r="F1096" s="1" t="s">
        <v>524</v>
      </c>
      <c r="G1096" s="1" t="s">
        <v>987</v>
      </c>
      <c r="H1096" s="1" t="s">
        <v>2352</v>
      </c>
      <c r="I1096" s="1" t="s">
        <v>2353</v>
      </c>
      <c r="J1096" s="1" t="s">
        <v>3174</v>
      </c>
      <c r="K1096" s="1" t="n">
        <f aca="false">IF(Search!$D$5="",0,IF(AND(OR(Search!$N$5="",ISNUMBER(SEARCH(Search!$N$5,J1096))),OR(Search!$N$6="",ISNUMBER(SEARCH(Search!$N$6,J1096))),OR(Search!$N$7="",ISNUMBER(SEARCH(Search!$N$7,J1096))),OR(Search!$N$8="",ISNUMBER(SEARCH(Search!$N$8,J1096)))),1,0))</f>
        <v>0</v>
      </c>
      <c r="L1096" s="1" t="n">
        <f aca="false">L1095+K1096</f>
        <v>0</v>
      </c>
    </row>
    <row r="1097" customFormat="false" ht="15" hidden="false" customHeight="true" outlineLevel="0" collapsed="false">
      <c r="A1097" s="1" t="s">
        <v>300</v>
      </c>
      <c r="B1097" s="1" t="s">
        <v>1221</v>
      </c>
      <c r="C1097" s="1" t="n">
        <v>42</v>
      </c>
      <c r="E1097" s="1" t="s">
        <v>3161</v>
      </c>
      <c r="F1097" s="1" t="s">
        <v>524</v>
      </c>
      <c r="G1097" s="1" t="s">
        <v>2358</v>
      </c>
      <c r="H1097" s="1" t="s">
        <v>3175</v>
      </c>
      <c r="I1097" s="1" t="s">
        <v>3176</v>
      </c>
      <c r="J1097" s="1" t="s">
        <v>3177</v>
      </c>
      <c r="K1097" s="1" t="n">
        <f aca="false">IF(Search!$D$5="",0,IF(AND(OR(Search!$N$5="",ISNUMBER(SEARCH(Search!$N$5,J1097))),OR(Search!$N$6="",ISNUMBER(SEARCH(Search!$N$6,J1097))),OR(Search!$N$7="",ISNUMBER(SEARCH(Search!$N$7,J1097))),OR(Search!$N$8="",ISNUMBER(SEARCH(Search!$N$8,J1097)))),1,0))</f>
        <v>0</v>
      </c>
      <c r="L1097" s="1" t="n">
        <f aca="false">L1096+K1097</f>
        <v>0</v>
      </c>
    </row>
    <row r="1098" customFormat="false" ht="15" hidden="false" customHeight="true" outlineLevel="0" collapsed="false">
      <c r="A1098" s="1" t="s">
        <v>300</v>
      </c>
      <c r="B1098" s="1" t="s">
        <v>1221</v>
      </c>
      <c r="C1098" s="1" t="n">
        <v>43</v>
      </c>
      <c r="E1098" s="1" t="s">
        <v>1878</v>
      </c>
      <c r="F1098" s="1" t="s">
        <v>524</v>
      </c>
      <c r="G1098" s="1" t="s">
        <v>2838</v>
      </c>
      <c r="H1098" s="1" t="s">
        <v>3178</v>
      </c>
      <c r="I1098" s="1" t="s">
        <v>3179</v>
      </c>
      <c r="J1098" s="1" t="s">
        <v>3180</v>
      </c>
      <c r="K1098" s="1" t="n">
        <f aca="false">IF(Search!$D$5="",0,IF(AND(OR(Search!$N$5="",ISNUMBER(SEARCH(Search!$N$5,J1098))),OR(Search!$N$6="",ISNUMBER(SEARCH(Search!$N$6,J1098))),OR(Search!$N$7="",ISNUMBER(SEARCH(Search!$N$7,J1098))),OR(Search!$N$8="",ISNUMBER(SEARCH(Search!$N$8,J1098)))),1,0))</f>
        <v>0</v>
      </c>
      <c r="L1098" s="1" t="n">
        <f aca="false">L1097+K1098</f>
        <v>0</v>
      </c>
    </row>
    <row r="1099" customFormat="false" ht="15" hidden="false" customHeight="true" outlineLevel="0" collapsed="false">
      <c r="A1099" s="1" t="s">
        <v>300</v>
      </c>
      <c r="B1099" s="1" t="s">
        <v>1221</v>
      </c>
      <c r="C1099" s="1" t="n">
        <v>44</v>
      </c>
      <c r="E1099" s="1" t="s">
        <v>492</v>
      </c>
      <c r="F1099" s="1" t="s">
        <v>524</v>
      </c>
      <c r="G1099" s="1" t="s">
        <v>1862</v>
      </c>
      <c r="H1099" s="1" t="s">
        <v>1516</v>
      </c>
      <c r="I1099" s="1" t="s">
        <v>1517</v>
      </c>
      <c r="J1099" s="1" t="s">
        <v>3181</v>
      </c>
      <c r="K1099" s="1" t="n">
        <f aca="false">IF(Search!$D$5="",0,IF(AND(OR(Search!$N$5="",ISNUMBER(SEARCH(Search!$N$5,J1099))),OR(Search!$N$6="",ISNUMBER(SEARCH(Search!$N$6,J1099))),OR(Search!$N$7="",ISNUMBER(SEARCH(Search!$N$7,J1099))),OR(Search!$N$8="",ISNUMBER(SEARCH(Search!$N$8,J1099)))),1,0))</f>
        <v>0</v>
      </c>
      <c r="L1099" s="1" t="n">
        <f aca="false">L1098+K1099</f>
        <v>0</v>
      </c>
    </row>
    <row r="1100" customFormat="false" ht="15" hidden="false" customHeight="true" outlineLevel="0" collapsed="false">
      <c r="A1100" s="1" t="s">
        <v>300</v>
      </c>
      <c r="B1100" s="1" t="s">
        <v>1221</v>
      </c>
      <c r="C1100" s="1" t="n">
        <v>45</v>
      </c>
      <c r="E1100" s="1" t="s">
        <v>492</v>
      </c>
      <c r="F1100" s="1" t="s">
        <v>524</v>
      </c>
      <c r="G1100" s="1" t="s">
        <v>2860</v>
      </c>
      <c r="H1100" s="1" t="s">
        <v>3182</v>
      </c>
      <c r="I1100" s="1" t="s">
        <v>3183</v>
      </c>
      <c r="J1100" s="1" t="s">
        <v>3184</v>
      </c>
      <c r="K1100" s="1" t="n">
        <f aca="false">IF(Search!$D$5="",0,IF(AND(OR(Search!$N$5="",ISNUMBER(SEARCH(Search!$N$5,J1100))),OR(Search!$N$6="",ISNUMBER(SEARCH(Search!$N$6,J1100))),OR(Search!$N$7="",ISNUMBER(SEARCH(Search!$N$7,J1100))),OR(Search!$N$8="",ISNUMBER(SEARCH(Search!$N$8,J1100)))),1,0))</f>
        <v>0</v>
      </c>
      <c r="L1100" s="1" t="n">
        <f aca="false">L1099+K1100</f>
        <v>0</v>
      </c>
    </row>
    <row r="1101" customFormat="false" ht="15" hidden="false" customHeight="true" outlineLevel="0" collapsed="false">
      <c r="A1101" s="1" t="s">
        <v>300</v>
      </c>
      <c r="B1101" s="1" t="s">
        <v>1221</v>
      </c>
      <c r="C1101" s="1" t="n">
        <v>46</v>
      </c>
      <c r="E1101" s="1" t="s">
        <v>492</v>
      </c>
      <c r="F1101" s="1" t="s">
        <v>524</v>
      </c>
      <c r="G1101" s="1" t="s">
        <v>2776</v>
      </c>
      <c r="H1101" s="1" t="s">
        <v>1882</v>
      </c>
      <c r="I1101" s="1" t="s">
        <v>1883</v>
      </c>
      <c r="J1101" s="1" t="s">
        <v>3185</v>
      </c>
      <c r="K1101" s="1" t="n">
        <f aca="false">IF(Search!$D$5="",0,IF(AND(OR(Search!$N$5="",ISNUMBER(SEARCH(Search!$N$5,J1101))),OR(Search!$N$6="",ISNUMBER(SEARCH(Search!$N$6,J1101))),OR(Search!$N$7="",ISNUMBER(SEARCH(Search!$N$7,J1101))),OR(Search!$N$8="",ISNUMBER(SEARCH(Search!$N$8,J1101)))),1,0))</f>
        <v>0</v>
      </c>
      <c r="L1101" s="1" t="n">
        <f aca="false">L1100+K1101</f>
        <v>0</v>
      </c>
    </row>
    <row r="1102" customFormat="false" ht="15" hidden="false" customHeight="true" outlineLevel="0" collapsed="false">
      <c r="A1102" s="1" t="s">
        <v>300</v>
      </c>
      <c r="B1102" s="1" t="s">
        <v>1221</v>
      </c>
      <c r="C1102" s="1" t="n">
        <v>47</v>
      </c>
      <c r="E1102" s="1" t="s">
        <v>492</v>
      </c>
      <c r="F1102" s="1" t="s">
        <v>524</v>
      </c>
      <c r="G1102" s="1" t="s">
        <v>2543</v>
      </c>
      <c r="H1102" s="1" t="s">
        <v>3186</v>
      </c>
      <c r="I1102" s="1" t="s">
        <v>2963</v>
      </c>
      <c r="J1102" s="1" t="s">
        <v>3187</v>
      </c>
      <c r="K1102" s="1" t="n">
        <f aca="false">IF(Search!$D$5="",0,IF(AND(OR(Search!$N$5="",ISNUMBER(SEARCH(Search!$N$5,J1102))),OR(Search!$N$6="",ISNUMBER(SEARCH(Search!$N$6,J1102))),OR(Search!$N$7="",ISNUMBER(SEARCH(Search!$N$7,J1102))),OR(Search!$N$8="",ISNUMBER(SEARCH(Search!$N$8,J1102)))),1,0))</f>
        <v>0</v>
      </c>
      <c r="L1102" s="1" t="n">
        <f aca="false">L1101+K1102</f>
        <v>0</v>
      </c>
    </row>
    <row r="1103" customFormat="false" ht="15" hidden="false" customHeight="true" outlineLevel="0" collapsed="false">
      <c r="A1103" s="1" t="s">
        <v>300</v>
      </c>
      <c r="B1103" s="1" t="s">
        <v>1221</v>
      </c>
      <c r="C1103" s="1" t="n">
        <v>48</v>
      </c>
      <c r="E1103" s="1" t="s">
        <v>492</v>
      </c>
      <c r="F1103" s="1" t="s">
        <v>524</v>
      </c>
      <c r="G1103" s="1" t="s">
        <v>1409</v>
      </c>
      <c r="H1103" s="1" t="s">
        <v>3135</v>
      </c>
      <c r="I1103" s="1" t="s">
        <v>3136</v>
      </c>
      <c r="J1103" s="1" t="s">
        <v>3188</v>
      </c>
      <c r="K1103" s="1" t="n">
        <f aca="false">IF(Search!$D$5="",0,IF(AND(OR(Search!$N$5="",ISNUMBER(SEARCH(Search!$N$5,J1103))),OR(Search!$N$6="",ISNUMBER(SEARCH(Search!$N$6,J1103))),OR(Search!$N$7="",ISNUMBER(SEARCH(Search!$N$7,J1103))),OR(Search!$N$8="",ISNUMBER(SEARCH(Search!$N$8,J1103)))),1,0))</f>
        <v>0</v>
      </c>
      <c r="L1103" s="1" t="n">
        <f aca="false">L1102+K1103</f>
        <v>0</v>
      </c>
    </row>
    <row r="1104" customFormat="false" ht="15" hidden="false" customHeight="true" outlineLevel="0" collapsed="false">
      <c r="A1104" s="1" t="s">
        <v>300</v>
      </c>
      <c r="B1104" s="1" t="s">
        <v>1221</v>
      </c>
      <c r="C1104" s="1" t="n">
        <v>49</v>
      </c>
      <c r="E1104" s="1" t="s">
        <v>492</v>
      </c>
      <c r="F1104" s="1" t="s">
        <v>524</v>
      </c>
      <c r="G1104" s="1" t="s">
        <v>987</v>
      </c>
      <c r="H1104" s="1" t="s">
        <v>3189</v>
      </c>
      <c r="I1104" s="1" t="s">
        <v>3190</v>
      </c>
      <c r="J1104" s="1" t="s">
        <v>3191</v>
      </c>
      <c r="K1104" s="1" t="n">
        <f aca="false">IF(Search!$D$5="",0,IF(AND(OR(Search!$N$5="",ISNUMBER(SEARCH(Search!$N$5,J1104))),OR(Search!$N$6="",ISNUMBER(SEARCH(Search!$N$6,J1104))),OR(Search!$N$7="",ISNUMBER(SEARCH(Search!$N$7,J1104))),OR(Search!$N$8="",ISNUMBER(SEARCH(Search!$N$8,J1104)))),1,0))</f>
        <v>0</v>
      </c>
      <c r="L1104" s="1" t="n">
        <f aca="false">L1103+K1104</f>
        <v>0</v>
      </c>
    </row>
    <row r="1105" customFormat="false" ht="15" hidden="false" customHeight="true" outlineLevel="0" collapsed="false">
      <c r="A1105" s="1" t="s">
        <v>300</v>
      </c>
      <c r="B1105" s="1" t="s">
        <v>1221</v>
      </c>
      <c r="C1105" s="1" t="n">
        <v>50</v>
      </c>
      <c r="E1105" s="1" t="s">
        <v>492</v>
      </c>
      <c r="F1105" s="1" t="s">
        <v>524</v>
      </c>
      <c r="G1105" s="1" t="s">
        <v>2358</v>
      </c>
      <c r="H1105" s="1" t="s">
        <v>2787</v>
      </c>
      <c r="I1105" s="1" t="s">
        <v>3192</v>
      </c>
      <c r="J1105" s="1" t="s">
        <v>3193</v>
      </c>
      <c r="K1105" s="1" t="n">
        <f aca="false">IF(Search!$D$5="",0,IF(AND(OR(Search!$N$5="",ISNUMBER(SEARCH(Search!$N$5,J1105))),OR(Search!$N$6="",ISNUMBER(SEARCH(Search!$N$6,J1105))),OR(Search!$N$7="",ISNUMBER(SEARCH(Search!$N$7,J1105))),OR(Search!$N$8="",ISNUMBER(SEARCH(Search!$N$8,J1105)))),1,0))</f>
        <v>0</v>
      </c>
      <c r="L1105" s="1" t="n">
        <f aca="false">L1104+K1105</f>
        <v>0</v>
      </c>
    </row>
    <row r="1106" customFormat="false" ht="15" hidden="false" customHeight="true" outlineLevel="0" collapsed="false">
      <c r="A1106" s="1" t="s">
        <v>300</v>
      </c>
      <c r="B1106" s="1" t="s">
        <v>1221</v>
      </c>
      <c r="C1106" s="1" t="n">
        <v>51</v>
      </c>
      <c r="E1106" s="1" t="s">
        <v>1908</v>
      </c>
      <c r="F1106" s="1" t="s">
        <v>3194</v>
      </c>
      <c r="G1106" s="1" t="s">
        <v>1862</v>
      </c>
      <c r="H1106" s="1" t="s">
        <v>3195</v>
      </c>
      <c r="I1106" s="1" t="s">
        <v>3196</v>
      </c>
      <c r="J1106" s="1" t="s">
        <v>3197</v>
      </c>
      <c r="K1106" s="1" t="n">
        <f aca="false">IF(Search!$D$5="",0,IF(AND(OR(Search!$N$5="",ISNUMBER(SEARCH(Search!$N$5,J1106))),OR(Search!$N$6="",ISNUMBER(SEARCH(Search!$N$6,J1106))),OR(Search!$N$7="",ISNUMBER(SEARCH(Search!$N$7,J1106))),OR(Search!$N$8="",ISNUMBER(SEARCH(Search!$N$8,J1106)))),1,0))</f>
        <v>0</v>
      </c>
      <c r="L1106" s="1" t="n">
        <f aca="false">L1105+K1106</f>
        <v>0</v>
      </c>
    </row>
    <row r="1107" customFormat="false" ht="15" hidden="false" customHeight="true" outlineLevel="0" collapsed="false">
      <c r="A1107" s="1" t="s">
        <v>300</v>
      </c>
      <c r="B1107" s="1" t="s">
        <v>1221</v>
      </c>
      <c r="C1107" s="1" t="n">
        <v>52</v>
      </c>
      <c r="E1107" s="1" t="s">
        <v>2699</v>
      </c>
      <c r="F1107" s="1" t="s">
        <v>524</v>
      </c>
      <c r="G1107" s="1" t="s">
        <v>2860</v>
      </c>
      <c r="H1107" s="1" t="s">
        <v>1823</v>
      </c>
      <c r="I1107" s="1" t="s">
        <v>3198</v>
      </c>
      <c r="J1107" s="1" t="s">
        <v>3199</v>
      </c>
      <c r="K1107" s="1" t="n">
        <f aca="false">IF(Search!$D$5="",0,IF(AND(OR(Search!$N$5="",ISNUMBER(SEARCH(Search!$N$5,J1107))),OR(Search!$N$6="",ISNUMBER(SEARCH(Search!$N$6,J1107))),OR(Search!$N$7="",ISNUMBER(SEARCH(Search!$N$7,J1107))),OR(Search!$N$8="",ISNUMBER(SEARCH(Search!$N$8,J1107)))),1,0))</f>
        <v>0</v>
      </c>
      <c r="L1107" s="1" t="n">
        <f aca="false">L1106+K1107</f>
        <v>0</v>
      </c>
    </row>
    <row r="1108" customFormat="false" ht="15" hidden="false" customHeight="true" outlineLevel="0" collapsed="false">
      <c r="A1108" s="1" t="s">
        <v>300</v>
      </c>
      <c r="B1108" s="1" t="s">
        <v>1221</v>
      </c>
      <c r="C1108" s="1" t="n">
        <v>53</v>
      </c>
      <c r="E1108" s="1" t="s">
        <v>2699</v>
      </c>
      <c r="F1108" s="1" t="s">
        <v>524</v>
      </c>
      <c r="G1108" s="1" t="s">
        <v>2776</v>
      </c>
      <c r="H1108" s="1" t="s">
        <v>2682</v>
      </c>
      <c r="I1108" s="1" t="s">
        <v>3200</v>
      </c>
      <c r="J1108" s="1" t="s">
        <v>3201</v>
      </c>
      <c r="K1108" s="1" t="n">
        <f aca="false">IF(Search!$D$5="",0,IF(AND(OR(Search!$N$5="",ISNUMBER(SEARCH(Search!$N$5,J1108))),OR(Search!$N$6="",ISNUMBER(SEARCH(Search!$N$6,J1108))),OR(Search!$N$7="",ISNUMBER(SEARCH(Search!$N$7,J1108))),OR(Search!$N$8="",ISNUMBER(SEARCH(Search!$N$8,J1108)))),1,0))</f>
        <v>0</v>
      </c>
      <c r="L1108" s="1" t="n">
        <f aca="false">L1107+K1108</f>
        <v>0</v>
      </c>
    </row>
    <row r="1109" customFormat="false" ht="15" hidden="false" customHeight="true" outlineLevel="0" collapsed="false">
      <c r="A1109" s="1" t="s">
        <v>300</v>
      </c>
      <c r="B1109" s="1" t="s">
        <v>1221</v>
      </c>
      <c r="C1109" s="1" t="n">
        <v>54</v>
      </c>
      <c r="E1109" s="1" t="s">
        <v>2699</v>
      </c>
      <c r="F1109" s="1" t="s">
        <v>524</v>
      </c>
      <c r="G1109" s="1" t="s">
        <v>1409</v>
      </c>
      <c r="H1109" s="1" t="s">
        <v>3202</v>
      </c>
      <c r="I1109" s="1" t="s">
        <v>3203</v>
      </c>
      <c r="J1109" s="1" t="s">
        <v>3204</v>
      </c>
      <c r="K1109" s="1" t="n">
        <f aca="false">IF(Search!$D$5="",0,IF(AND(OR(Search!$N$5="",ISNUMBER(SEARCH(Search!$N$5,J1109))),OR(Search!$N$6="",ISNUMBER(SEARCH(Search!$N$6,J1109))),OR(Search!$N$7="",ISNUMBER(SEARCH(Search!$N$7,J1109))),OR(Search!$N$8="",ISNUMBER(SEARCH(Search!$N$8,J1109)))),1,0))</f>
        <v>0</v>
      </c>
      <c r="L1109" s="1" t="n">
        <f aca="false">L1108+K1109</f>
        <v>0</v>
      </c>
    </row>
    <row r="1110" customFormat="false" ht="15" hidden="false" customHeight="true" outlineLevel="0" collapsed="false">
      <c r="A1110" s="1" t="s">
        <v>300</v>
      </c>
      <c r="B1110" s="1" t="s">
        <v>1221</v>
      </c>
      <c r="C1110" s="1" t="n">
        <v>55</v>
      </c>
      <c r="E1110" s="1" t="s">
        <v>2699</v>
      </c>
      <c r="F1110" s="1" t="s">
        <v>524</v>
      </c>
      <c r="G1110" s="1" t="s">
        <v>987</v>
      </c>
      <c r="H1110" s="1" t="s">
        <v>3205</v>
      </c>
      <c r="I1110" s="1" t="s">
        <v>3206</v>
      </c>
      <c r="J1110" s="1" t="s">
        <v>3207</v>
      </c>
      <c r="K1110" s="1" t="n">
        <f aca="false">IF(Search!$D$5="",0,IF(AND(OR(Search!$N$5="",ISNUMBER(SEARCH(Search!$N$5,J1110))),OR(Search!$N$6="",ISNUMBER(SEARCH(Search!$N$6,J1110))),OR(Search!$N$7="",ISNUMBER(SEARCH(Search!$N$7,J1110))),OR(Search!$N$8="",ISNUMBER(SEARCH(Search!$N$8,J1110)))),1,0))</f>
        <v>0</v>
      </c>
      <c r="L1110" s="1" t="n">
        <f aca="false">L1109+K1110</f>
        <v>0</v>
      </c>
    </row>
    <row r="1111" customFormat="false" ht="15" hidden="false" customHeight="true" outlineLevel="0" collapsed="false">
      <c r="A1111" s="1" t="s">
        <v>300</v>
      </c>
      <c r="B1111" s="1" t="s">
        <v>1221</v>
      </c>
      <c r="C1111" s="1" t="n">
        <v>56</v>
      </c>
      <c r="E1111" s="1" t="s">
        <v>2699</v>
      </c>
      <c r="F1111" s="1" t="s">
        <v>524</v>
      </c>
      <c r="G1111" s="1" t="s">
        <v>2358</v>
      </c>
      <c r="H1111" s="1" t="s">
        <v>2377</v>
      </c>
      <c r="I1111" s="1" t="s">
        <v>478</v>
      </c>
      <c r="J1111" s="1" t="s">
        <v>3208</v>
      </c>
      <c r="K1111" s="1" t="n">
        <f aca="false">IF(Search!$D$5="",0,IF(AND(OR(Search!$N$5="",ISNUMBER(SEARCH(Search!$N$5,J1111))),OR(Search!$N$6="",ISNUMBER(SEARCH(Search!$N$6,J1111))),OR(Search!$N$7="",ISNUMBER(SEARCH(Search!$N$7,J1111))),OR(Search!$N$8="",ISNUMBER(SEARCH(Search!$N$8,J1111)))),1,0))</f>
        <v>0</v>
      </c>
      <c r="L1111" s="1" t="n">
        <f aca="false">L1110+K1111</f>
        <v>0</v>
      </c>
    </row>
    <row r="1112" customFormat="false" ht="15" hidden="false" customHeight="true" outlineLevel="0" collapsed="false">
      <c r="A1112" s="1" t="s">
        <v>300</v>
      </c>
      <c r="B1112" s="1" t="s">
        <v>1221</v>
      </c>
      <c r="C1112" s="1" t="n">
        <v>57</v>
      </c>
      <c r="E1112" s="1" t="s">
        <v>2699</v>
      </c>
      <c r="F1112" s="1" t="s">
        <v>524</v>
      </c>
      <c r="G1112" s="1" t="s">
        <v>1830</v>
      </c>
      <c r="H1112" s="1" t="s">
        <v>3209</v>
      </c>
      <c r="I1112" s="1" t="s">
        <v>3210</v>
      </c>
      <c r="J1112" s="1" t="s">
        <v>3211</v>
      </c>
      <c r="K1112" s="1" t="n">
        <f aca="false">IF(Search!$D$5="",0,IF(AND(OR(Search!$N$5="",ISNUMBER(SEARCH(Search!$N$5,J1112))),OR(Search!$N$6="",ISNUMBER(SEARCH(Search!$N$6,J1112))),OR(Search!$N$7="",ISNUMBER(SEARCH(Search!$N$7,J1112))),OR(Search!$N$8="",ISNUMBER(SEARCH(Search!$N$8,J1112)))),1,0))</f>
        <v>0</v>
      </c>
      <c r="L1112" s="1" t="n">
        <f aca="false">L1111+K1112</f>
        <v>0</v>
      </c>
    </row>
    <row r="1113" customFormat="false" ht="15" hidden="false" customHeight="true" outlineLevel="0" collapsed="false">
      <c r="A1113" s="1" t="s">
        <v>300</v>
      </c>
      <c r="B1113" s="1" t="s">
        <v>1221</v>
      </c>
      <c r="C1113" s="1" t="n">
        <v>58</v>
      </c>
      <c r="E1113" s="1" t="s">
        <v>2699</v>
      </c>
      <c r="F1113" s="1" t="s">
        <v>524</v>
      </c>
      <c r="G1113" s="1" t="s">
        <v>2377</v>
      </c>
      <c r="H1113" s="1" t="s">
        <v>3212</v>
      </c>
      <c r="I1113" s="1" t="s">
        <v>3213</v>
      </c>
      <c r="J1113" s="1" t="s">
        <v>3214</v>
      </c>
      <c r="K1113" s="1" t="n">
        <f aca="false">IF(Search!$D$5="",0,IF(AND(OR(Search!$N$5="",ISNUMBER(SEARCH(Search!$N$5,J1113))),OR(Search!$N$6="",ISNUMBER(SEARCH(Search!$N$6,J1113))),OR(Search!$N$7="",ISNUMBER(SEARCH(Search!$N$7,J1113))),OR(Search!$N$8="",ISNUMBER(SEARCH(Search!$N$8,J1113)))),1,0))</f>
        <v>0</v>
      </c>
      <c r="L1113" s="1" t="n">
        <f aca="false">L1112+K1113</f>
        <v>0</v>
      </c>
    </row>
    <row r="1114" customFormat="false" ht="15" hidden="false" customHeight="true" outlineLevel="0" collapsed="false">
      <c r="A1114" s="1" t="s">
        <v>300</v>
      </c>
      <c r="B1114" s="1" t="s">
        <v>1221</v>
      </c>
      <c r="C1114" s="1" t="n">
        <v>59</v>
      </c>
      <c r="E1114" s="1" t="s">
        <v>2699</v>
      </c>
      <c r="F1114" s="1" t="s">
        <v>524</v>
      </c>
      <c r="G1114" s="1" t="s">
        <v>1834</v>
      </c>
      <c r="H1114" s="1" t="s">
        <v>1725</v>
      </c>
      <c r="I1114" s="1" t="s">
        <v>1726</v>
      </c>
      <c r="J1114" s="1" t="s">
        <v>3215</v>
      </c>
      <c r="K1114" s="1" t="n">
        <f aca="false">IF(Search!$D$5="",0,IF(AND(OR(Search!$N$5="",ISNUMBER(SEARCH(Search!$N$5,J1114))),OR(Search!$N$6="",ISNUMBER(SEARCH(Search!$N$6,J1114))),OR(Search!$N$7="",ISNUMBER(SEARCH(Search!$N$7,J1114))),OR(Search!$N$8="",ISNUMBER(SEARCH(Search!$N$8,J1114)))),1,0))</f>
        <v>0</v>
      </c>
      <c r="L1114" s="1" t="n">
        <f aca="false">L1113+K1114</f>
        <v>0</v>
      </c>
    </row>
    <row r="1115" customFormat="false" ht="15" hidden="false" customHeight="true" outlineLevel="0" collapsed="false">
      <c r="A1115" s="1" t="s">
        <v>300</v>
      </c>
      <c r="B1115" s="1" t="s">
        <v>1221</v>
      </c>
      <c r="C1115" s="1" t="n">
        <v>60</v>
      </c>
      <c r="E1115" s="1" t="s">
        <v>2699</v>
      </c>
      <c r="F1115" s="1" t="s">
        <v>524</v>
      </c>
      <c r="G1115" s="1" t="s">
        <v>1838</v>
      </c>
      <c r="H1115" s="1" t="s">
        <v>3216</v>
      </c>
      <c r="I1115" s="1" t="s">
        <v>3217</v>
      </c>
      <c r="J1115" s="1" t="s">
        <v>3218</v>
      </c>
      <c r="K1115" s="1" t="n">
        <f aca="false">IF(Search!$D$5="",0,IF(AND(OR(Search!$N$5="",ISNUMBER(SEARCH(Search!$N$5,J1115))),OR(Search!$N$6="",ISNUMBER(SEARCH(Search!$N$6,J1115))),OR(Search!$N$7="",ISNUMBER(SEARCH(Search!$N$7,J1115))),OR(Search!$N$8="",ISNUMBER(SEARCH(Search!$N$8,J1115)))),1,0))</f>
        <v>0</v>
      </c>
      <c r="L1115" s="1" t="n">
        <f aca="false">L1114+K1115</f>
        <v>0</v>
      </c>
    </row>
    <row r="1116" customFormat="false" ht="15" hidden="false" customHeight="true" outlineLevel="0" collapsed="false">
      <c r="A1116" s="1" t="s">
        <v>300</v>
      </c>
      <c r="B1116" s="1" t="s">
        <v>1221</v>
      </c>
      <c r="C1116" s="1" t="n">
        <v>61</v>
      </c>
      <c r="E1116" s="1" t="s">
        <v>1933</v>
      </c>
      <c r="F1116" s="1" t="s">
        <v>524</v>
      </c>
      <c r="G1116" s="1" t="s">
        <v>1862</v>
      </c>
      <c r="H1116" s="1" t="s">
        <v>2363</v>
      </c>
      <c r="I1116" s="1" t="s">
        <v>2364</v>
      </c>
      <c r="J1116" s="1" t="s">
        <v>3219</v>
      </c>
      <c r="K1116" s="1" t="n">
        <f aca="false">IF(Search!$D$5="",0,IF(AND(OR(Search!$N$5="",ISNUMBER(SEARCH(Search!$N$5,J1116))),OR(Search!$N$6="",ISNUMBER(SEARCH(Search!$N$6,J1116))),OR(Search!$N$7="",ISNUMBER(SEARCH(Search!$N$7,J1116))),OR(Search!$N$8="",ISNUMBER(SEARCH(Search!$N$8,J1116)))),1,0))</f>
        <v>0</v>
      </c>
      <c r="L1116" s="1" t="n">
        <f aca="false">L1115+K1116</f>
        <v>0</v>
      </c>
    </row>
    <row r="1117" customFormat="false" ht="15" hidden="false" customHeight="true" outlineLevel="0" collapsed="false">
      <c r="A1117" s="1" t="s">
        <v>300</v>
      </c>
      <c r="B1117" s="1" t="s">
        <v>1221</v>
      </c>
      <c r="C1117" s="1" t="n">
        <v>62</v>
      </c>
      <c r="E1117" s="1" t="s">
        <v>3220</v>
      </c>
      <c r="F1117" s="1" t="s">
        <v>524</v>
      </c>
      <c r="G1117" s="1" t="s">
        <v>1409</v>
      </c>
      <c r="H1117" s="1" t="s">
        <v>2366</v>
      </c>
      <c r="I1117" s="1" t="s">
        <v>2367</v>
      </c>
      <c r="J1117" s="1" t="s">
        <v>3221</v>
      </c>
      <c r="K1117" s="1" t="n">
        <f aca="false">IF(Search!$D$5="",0,IF(AND(OR(Search!$N$5="",ISNUMBER(SEARCH(Search!$N$5,J1117))),OR(Search!$N$6="",ISNUMBER(SEARCH(Search!$N$6,J1117))),OR(Search!$N$7="",ISNUMBER(SEARCH(Search!$N$7,J1117))),OR(Search!$N$8="",ISNUMBER(SEARCH(Search!$N$8,J1117)))),1,0))</f>
        <v>0</v>
      </c>
      <c r="L1117" s="1" t="n">
        <f aca="false">L1116+K1117</f>
        <v>0</v>
      </c>
    </row>
    <row r="1118" customFormat="false" ht="15" hidden="false" customHeight="true" outlineLevel="0" collapsed="false">
      <c r="A1118" s="1" t="s">
        <v>300</v>
      </c>
      <c r="B1118" s="1" t="s">
        <v>1221</v>
      </c>
      <c r="C1118" s="1" t="n">
        <v>63</v>
      </c>
      <c r="E1118" s="1" t="s">
        <v>3220</v>
      </c>
      <c r="F1118" s="1" t="s">
        <v>524</v>
      </c>
      <c r="G1118" s="1" t="s">
        <v>987</v>
      </c>
      <c r="H1118" s="1" t="s">
        <v>2369</v>
      </c>
      <c r="I1118" s="1" t="s">
        <v>2370</v>
      </c>
      <c r="J1118" s="1" t="s">
        <v>3222</v>
      </c>
      <c r="K1118" s="1" t="n">
        <f aca="false">IF(Search!$D$5="",0,IF(AND(OR(Search!$N$5="",ISNUMBER(SEARCH(Search!$N$5,J1118))),OR(Search!$N$6="",ISNUMBER(SEARCH(Search!$N$6,J1118))),OR(Search!$N$7="",ISNUMBER(SEARCH(Search!$N$7,J1118))),OR(Search!$N$8="",ISNUMBER(SEARCH(Search!$N$8,J1118)))),1,0))</f>
        <v>0</v>
      </c>
      <c r="L1118" s="1" t="n">
        <f aca="false">L1117+K1118</f>
        <v>0</v>
      </c>
    </row>
    <row r="1119" customFormat="false" ht="15" hidden="false" customHeight="true" outlineLevel="0" collapsed="false">
      <c r="A1119" s="1" t="s">
        <v>300</v>
      </c>
      <c r="B1119" s="1" t="s">
        <v>1221</v>
      </c>
      <c r="C1119" s="1" t="n">
        <v>64</v>
      </c>
      <c r="E1119" s="1" t="s">
        <v>3220</v>
      </c>
      <c r="F1119" s="1" t="s">
        <v>524</v>
      </c>
      <c r="G1119" s="1" t="s">
        <v>2358</v>
      </c>
      <c r="H1119" s="1" t="s">
        <v>1919</v>
      </c>
      <c r="I1119" s="1" t="s">
        <v>2372</v>
      </c>
      <c r="J1119" s="1" t="s">
        <v>3223</v>
      </c>
      <c r="K1119" s="1" t="n">
        <f aca="false">IF(Search!$D$5="",0,IF(AND(OR(Search!$N$5="",ISNUMBER(SEARCH(Search!$N$5,J1119))),OR(Search!$N$6="",ISNUMBER(SEARCH(Search!$N$6,J1119))),OR(Search!$N$7="",ISNUMBER(SEARCH(Search!$N$7,J1119))),OR(Search!$N$8="",ISNUMBER(SEARCH(Search!$N$8,J1119)))),1,0))</f>
        <v>0</v>
      </c>
      <c r="L1119" s="1" t="n">
        <f aca="false">L1118+K1119</f>
        <v>0</v>
      </c>
    </row>
    <row r="1120" customFormat="false" ht="15" hidden="false" customHeight="true" outlineLevel="0" collapsed="false">
      <c r="A1120" s="1" t="s">
        <v>300</v>
      </c>
      <c r="B1120" s="1" t="s">
        <v>1221</v>
      </c>
      <c r="C1120" s="1" t="n">
        <v>65</v>
      </c>
      <c r="E1120" s="1" t="s">
        <v>3220</v>
      </c>
      <c r="F1120" s="1" t="s">
        <v>524</v>
      </c>
      <c r="G1120" s="1" t="s">
        <v>1830</v>
      </c>
      <c r="H1120" s="1" t="s">
        <v>2374</v>
      </c>
      <c r="I1120" s="1" t="s">
        <v>2375</v>
      </c>
      <c r="J1120" s="1" t="s">
        <v>3224</v>
      </c>
      <c r="K1120" s="1" t="n">
        <f aca="false">IF(Search!$D$5="",0,IF(AND(OR(Search!$N$5="",ISNUMBER(SEARCH(Search!$N$5,J1120))),OR(Search!$N$6="",ISNUMBER(SEARCH(Search!$N$6,J1120))),OR(Search!$N$7="",ISNUMBER(SEARCH(Search!$N$7,J1120))),OR(Search!$N$8="",ISNUMBER(SEARCH(Search!$N$8,J1120)))),1,0))</f>
        <v>0</v>
      </c>
      <c r="L1120" s="1" t="n">
        <f aca="false">L1119+K1120</f>
        <v>0</v>
      </c>
    </row>
    <row r="1121" customFormat="false" ht="15" hidden="false" customHeight="true" outlineLevel="0" collapsed="false">
      <c r="A1121" s="1" t="s">
        <v>300</v>
      </c>
      <c r="B1121" s="1" t="s">
        <v>1221</v>
      </c>
      <c r="C1121" s="1" t="n">
        <v>66</v>
      </c>
      <c r="E1121" s="1" t="s">
        <v>3220</v>
      </c>
      <c r="F1121" s="1" t="s">
        <v>524</v>
      </c>
      <c r="G1121" s="1" t="s">
        <v>2377</v>
      </c>
      <c r="H1121" s="1" t="s">
        <v>2378</v>
      </c>
      <c r="I1121" s="1" t="s">
        <v>2379</v>
      </c>
      <c r="J1121" s="1" t="s">
        <v>3225</v>
      </c>
      <c r="K1121" s="1" t="n">
        <f aca="false">IF(Search!$D$5="",0,IF(AND(OR(Search!$N$5="",ISNUMBER(SEARCH(Search!$N$5,J1121))),OR(Search!$N$6="",ISNUMBER(SEARCH(Search!$N$6,J1121))),OR(Search!$N$7="",ISNUMBER(SEARCH(Search!$N$7,J1121))),OR(Search!$N$8="",ISNUMBER(SEARCH(Search!$N$8,J1121)))),1,0))</f>
        <v>0</v>
      </c>
      <c r="L1121" s="1" t="n">
        <f aca="false">L1120+K1121</f>
        <v>0</v>
      </c>
    </row>
    <row r="1122" customFormat="false" ht="15" hidden="false" customHeight="true" outlineLevel="0" collapsed="false">
      <c r="A1122" s="1" t="s">
        <v>300</v>
      </c>
      <c r="B1122" s="1" t="s">
        <v>1221</v>
      </c>
      <c r="C1122" s="1" t="n">
        <v>67</v>
      </c>
      <c r="E1122" s="1" t="s">
        <v>1958</v>
      </c>
      <c r="F1122" s="1" t="s">
        <v>3226</v>
      </c>
      <c r="G1122" s="1" t="s">
        <v>1409</v>
      </c>
      <c r="H1122" s="1" t="s">
        <v>3227</v>
      </c>
      <c r="I1122" s="1" t="s">
        <v>3228</v>
      </c>
      <c r="J1122" s="1" t="s">
        <v>3229</v>
      </c>
      <c r="K1122" s="1" t="n">
        <f aca="false">IF(Search!$D$5="",0,IF(AND(OR(Search!$N$5="",ISNUMBER(SEARCH(Search!$N$5,J1122))),OR(Search!$N$6="",ISNUMBER(SEARCH(Search!$N$6,J1122))),OR(Search!$N$7="",ISNUMBER(SEARCH(Search!$N$7,J1122))),OR(Search!$N$8="",ISNUMBER(SEARCH(Search!$N$8,J1122)))),1,0))</f>
        <v>0</v>
      </c>
      <c r="L1122" s="1" t="n">
        <f aca="false">L1121+K1122</f>
        <v>0</v>
      </c>
    </row>
    <row r="1123" customFormat="false" ht="15" hidden="false" customHeight="true" outlineLevel="0" collapsed="false">
      <c r="A1123" s="1" t="s">
        <v>300</v>
      </c>
      <c r="B1123" s="1" t="s">
        <v>1221</v>
      </c>
      <c r="C1123" s="1" t="n">
        <v>68</v>
      </c>
      <c r="E1123" s="1" t="s">
        <v>2704</v>
      </c>
      <c r="F1123" s="1" t="s">
        <v>524</v>
      </c>
      <c r="G1123" s="1" t="s">
        <v>987</v>
      </c>
      <c r="H1123" s="1" t="s">
        <v>3230</v>
      </c>
      <c r="I1123" s="1" t="s">
        <v>3231</v>
      </c>
      <c r="J1123" s="1" t="s">
        <v>3232</v>
      </c>
      <c r="K1123" s="1" t="n">
        <f aca="false">IF(Search!$D$5="",0,IF(AND(OR(Search!$N$5="",ISNUMBER(SEARCH(Search!$N$5,J1123))),OR(Search!$N$6="",ISNUMBER(SEARCH(Search!$N$6,J1123))),OR(Search!$N$7="",ISNUMBER(SEARCH(Search!$N$7,J1123))),OR(Search!$N$8="",ISNUMBER(SEARCH(Search!$N$8,J1123)))),1,0))</f>
        <v>0</v>
      </c>
      <c r="L1123" s="1" t="n">
        <f aca="false">L1122+K1123</f>
        <v>0</v>
      </c>
    </row>
    <row r="1124" customFormat="false" ht="15" hidden="false" customHeight="true" outlineLevel="0" collapsed="false">
      <c r="A1124" s="1" t="s">
        <v>300</v>
      </c>
      <c r="B1124" s="1" t="s">
        <v>1221</v>
      </c>
      <c r="C1124" s="1" t="n">
        <v>69</v>
      </c>
      <c r="E1124" s="1" t="s">
        <v>2704</v>
      </c>
      <c r="F1124" s="1" t="s">
        <v>524</v>
      </c>
      <c r="G1124" s="1" t="s">
        <v>2358</v>
      </c>
      <c r="H1124" s="1" t="s">
        <v>1838</v>
      </c>
      <c r="I1124" s="1" t="s">
        <v>2620</v>
      </c>
      <c r="J1124" s="1" t="s">
        <v>3233</v>
      </c>
      <c r="K1124" s="1" t="n">
        <f aca="false">IF(Search!$D$5="",0,IF(AND(OR(Search!$N$5="",ISNUMBER(SEARCH(Search!$N$5,J1124))),OR(Search!$N$6="",ISNUMBER(SEARCH(Search!$N$6,J1124))),OR(Search!$N$7="",ISNUMBER(SEARCH(Search!$N$7,J1124))),OR(Search!$N$8="",ISNUMBER(SEARCH(Search!$N$8,J1124)))),1,0))</f>
        <v>0</v>
      </c>
      <c r="L1124" s="1" t="n">
        <f aca="false">L1123+K1124</f>
        <v>0</v>
      </c>
    </row>
    <row r="1125" customFormat="false" ht="15" hidden="false" customHeight="true" outlineLevel="0" collapsed="false">
      <c r="A1125" s="1" t="s">
        <v>300</v>
      </c>
      <c r="B1125" s="1" t="s">
        <v>1221</v>
      </c>
      <c r="C1125" s="1" t="n">
        <v>70</v>
      </c>
      <c r="E1125" s="1" t="s">
        <v>2704</v>
      </c>
      <c r="F1125" s="1" t="s">
        <v>524</v>
      </c>
      <c r="G1125" s="1" t="s">
        <v>1830</v>
      </c>
      <c r="H1125" s="1" t="s">
        <v>3234</v>
      </c>
      <c r="I1125" s="1" t="s">
        <v>3235</v>
      </c>
      <c r="J1125" s="1" t="s">
        <v>3236</v>
      </c>
      <c r="K1125" s="1" t="n">
        <f aca="false">IF(Search!$D$5="",0,IF(AND(OR(Search!$N$5="",ISNUMBER(SEARCH(Search!$N$5,J1125))),OR(Search!$N$6="",ISNUMBER(SEARCH(Search!$N$6,J1125))),OR(Search!$N$7="",ISNUMBER(SEARCH(Search!$N$7,J1125))),OR(Search!$N$8="",ISNUMBER(SEARCH(Search!$N$8,J1125)))),1,0))</f>
        <v>0</v>
      </c>
      <c r="L1125" s="1" t="n">
        <f aca="false">L1124+K1125</f>
        <v>0</v>
      </c>
    </row>
    <row r="1126" customFormat="false" ht="15" hidden="false" customHeight="true" outlineLevel="0" collapsed="false">
      <c r="A1126" s="1" t="s">
        <v>300</v>
      </c>
      <c r="B1126" s="1" t="s">
        <v>1221</v>
      </c>
      <c r="C1126" s="1" t="n">
        <v>71</v>
      </c>
      <c r="E1126" s="1" t="s">
        <v>1992</v>
      </c>
      <c r="F1126" s="1" t="s">
        <v>3237</v>
      </c>
      <c r="G1126" s="1" t="s">
        <v>1409</v>
      </c>
      <c r="H1126" s="1" t="s">
        <v>3238</v>
      </c>
      <c r="I1126" s="1" t="s">
        <v>3239</v>
      </c>
      <c r="J1126" s="1" t="s">
        <v>3240</v>
      </c>
      <c r="K1126" s="1" t="n">
        <f aca="false">IF(Search!$D$5="",0,IF(AND(OR(Search!$N$5="",ISNUMBER(SEARCH(Search!$N$5,J1126))),OR(Search!$N$6="",ISNUMBER(SEARCH(Search!$N$6,J1126))),OR(Search!$N$7="",ISNUMBER(SEARCH(Search!$N$7,J1126))),OR(Search!$N$8="",ISNUMBER(SEARCH(Search!$N$8,J1126)))),1,0))</f>
        <v>0</v>
      </c>
      <c r="L1126" s="1" t="n">
        <f aca="false">L1125+K1126</f>
        <v>0</v>
      </c>
    </row>
    <row r="1127" customFormat="false" ht="15" hidden="false" customHeight="true" outlineLevel="0" collapsed="false">
      <c r="A1127" s="1" t="s">
        <v>300</v>
      </c>
      <c r="B1127" s="1" t="s">
        <v>1221</v>
      </c>
      <c r="C1127" s="1" t="n">
        <v>72</v>
      </c>
      <c r="E1127" s="1" t="s">
        <v>3241</v>
      </c>
      <c r="F1127" s="1" t="s">
        <v>524</v>
      </c>
      <c r="G1127" s="1" t="s">
        <v>987</v>
      </c>
      <c r="H1127" s="1" t="s">
        <v>2740</v>
      </c>
      <c r="I1127" s="1" t="s">
        <v>2333</v>
      </c>
      <c r="J1127" s="1" t="s">
        <v>3242</v>
      </c>
      <c r="K1127" s="1" t="n">
        <f aca="false">IF(Search!$D$5="",0,IF(AND(OR(Search!$N$5="",ISNUMBER(SEARCH(Search!$N$5,J1127))),OR(Search!$N$6="",ISNUMBER(SEARCH(Search!$N$6,J1127))),OR(Search!$N$7="",ISNUMBER(SEARCH(Search!$N$7,J1127))),OR(Search!$N$8="",ISNUMBER(SEARCH(Search!$N$8,J1127)))),1,0))</f>
        <v>0</v>
      </c>
      <c r="L1127" s="1" t="n">
        <f aca="false">L1126+K1127</f>
        <v>0</v>
      </c>
    </row>
    <row r="1128" customFormat="false" ht="15" hidden="false" customHeight="true" outlineLevel="0" collapsed="false">
      <c r="A1128" s="1" t="s">
        <v>300</v>
      </c>
      <c r="B1128" s="1" t="s">
        <v>1221</v>
      </c>
      <c r="C1128" s="1" t="n">
        <v>73</v>
      </c>
      <c r="E1128" s="1" t="s">
        <v>3241</v>
      </c>
      <c r="F1128" s="1" t="s">
        <v>524</v>
      </c>
      <c r="G1128" s="1" t="s">
        <v>2358</v>
      </c>
      <c r="H1128" s="1" t="s">
        <v>3243</v>
      </c>
      <c r="I1128" s="1" t="s">
        <v>3244</v>
      </c>
      <c r="J1128" s="1" t="s">
        <v>3245</v>
      </c>
      <c r="K1128" s="1" t="n">
        <f aca="false">IF(Search!$D$5="",0,IF(AND(OR(Search!$N$5="",ISNUMBER(SEARCH(Search!$N$5,J1128))),OR(Search!$N$6="",ISNUMBER(SEARCH(Search!$N$6,J1128))),OR(Search!$N$7="",ISNUMBER(SEARCH(Search!$N$7,J1128))),OR(Search!$N$8="",ISNUMBER(SEARCH(Search!$N$8,J1128)))),1,0))</f>
        <v>0</v>
      </c>
      <c r="L1128" s="1" t="n">
        <f aca="false">L1127+K1128</f>
        <v>0</v>
      </c>
    </row>
    <row r="1129" customFormat="false" ht="15" hidden="false" customHeight="true" outlineLevel="0" collapsed="false">
      <c r="A1129" s="1" t="s">
        <v>300</v>
      </c>
      <c r="B1129" s="1" t="s">
        <v>1221</v>
      </c>
      <c r="C1129" s="1" t="n">
        <v>74</v>
      </c>
      <c r="E1129" s="1" t="s">
        <v>3241</v>
      </c>
      <c r="F1129" s="1" t="s">
        <v>524</v>
      </c>
      <c r="G1129" s="1" t="s">
        <v>1830</v>
      </c>
      <c r="H1129" s="1" t="s">
        <v>2916</v>
      </c>
      <c r="I1129" s="1" t="s">
        <v>3246</v>
      </c>
      <c r="J1129" s="1" t="s">
        <v>3247</v>
      </c>
      <c r="K1129" s="1" t="n">
        <f aca="false">IF(Search!$D$5="",0,IF(AND(OR(Search!$N$5="",ISNUMBER(SEARCH(Search!$N$5,J1129))),OR(Search!$N$6="",ISNUMBER(SEARCH(Search!$N$6,J1129))),OR(Search!$N$7="",ISNUMBER(SEARCH(Search!$N$7,J1129))),OR(Search!$N$8="",ISNUMBER(SEARCH(Search!$N$8,J1129)))),1,0))</f>
        <v>0</v>
      </c>
      <c r="L1129" s="1" t="n">
        <f aca="false">L1128+K1129</f>
        <v>0</v>
      </c>
    </row>
    <row r="1130" customFormat="false" ht="15" hidden="false" customHeight="true" outlineLevel="0" collapsed="false">
      <c r="A1130" s="1" t="s">
        <v>300</v>
      </c>
      <c r="B1130" s="1" t="s">
        <v>1221</v>
      </c>
      <c r="C1130" s="1" t="n">
        <v>75</v>
      </c>
      <c r="E1130" s="1" t="s">
        <v>3241</v>
      </c>
      <c r="F1130" s="1" t="s">
        <v>524</v>
      </c>
      <c r="G1130" s="1" t="s">
        <v>2377</v>
      </c>
      <c r="H1130" s="1" t="s">
        <v>3248</v>
      </c>
      <c r="I1130" s="1" t="s">
        <v>3249</v>
      </c>
      <c r="J1130" s="1" t="s">
        <v>3250</v>
      </c>
      <c r="K1130" s="1" t="n">
        <f aca="false">IF(Search!$D$5="",0,IF(AND(OR(Search!$N$5="",ISNUMBER(SEARCH(Search!$N$5,J1130))),OR(Search!$N$6="",ISNUMBER(SEARCH(Search!$N$6,J1130))),OR(Search!$N$7="",ISNUMBER(SEARCH(Search!$N$7,J1130))),OR(Search!$N$8="",ISNUMBER(SEARCH(Search!$N$8,J1130)))),1,0))</f>
        <v>0</v>
      </c>
      <c r="L1130" s="1" t="n">
        <f aca="false">L1129+K1130</f>
        <v>0</v>
      </c>
    </row>
    <row r="1131" customFormat="false" ht="15" hidden="false" customHeight="true" outlineLevel="0" collapsed="false">
      <c r="A1131" s="1" t="s">
        <v>300</v>
      </c>
      <c r="B1131" s="1" t="s">
        <v>1221</v>
      </c>
      <c r="C1131" s="1" t="n">
        <v>76</v>
      </c>
      <c r="E1131" s="1" t="s">
        <v>3241</v>
      </c>
      <c r="F1131" s="1" t="s">
        <v>524</v>
      </c>
      <c r="G1131" s="1" t="s">
        <v>1834</v>
      </c>
      <c r="H1131" s="1" t="s">
        <v>3251</v>
      </c>
      <c r="I1131" s="1" t="s">
        <v>3252</v>
      </c>
      <c r="J1131" s="1" t="s">
        <v>3253</v>
      </c>
      <c r="K1131" s="1" t="n">
        <f aca="false">IF(Search!$D$5="",0,IF(AND(OR(Search!$N$5="",ISNUMBER(SEARCH(Search!$N$5,J1131))),OR(Search!$N$6="",ISNUMBER(SEARCH(Search!$N$6,J1131))),OR(Search!$N$7="",ISNUMBER(SEARCH(Search!$N$7,J1131))),OR(Search!$N$8="",ISNUMBER(SEARCH(Search!$N$8,J1131)))),1,0))</f>
        <v>0</v>
      </c>
      <c r="L1131" s="1" t="n">
        <f aca="false">L1130+K1131</f>
        <v>0</v>
      </c>
    </row>
    <row r="1132" customFormat="false" ht="15" hidden="false" customHeight="true" outlineLevel="0" collapsed="false">
      <c r="A1132" s="1" t="s">
        <v>300</v>
      </c>
      <c r="B1132" s="1" t="s">
        <v>1221</v>
      </c>
      <c r="C1132" s="1" t="n">
        <v>77</v>
      </c>
      <c r="E1132" s="1" t="s">
        <v>3241</v>
      </c>
      <c r="F1132" s="1" t="s">
        <v>524</v>
      </c>
      <c r="G1132" s="1" t="s">
        <v>1838</v>
      </c>
      <c r="H1132" s="1" t="s">
        <v>2238</v>
      </c>
      <c r="I1132" s="1" t="s">
        <v>2239</v>
      </c>
      <c r="J1132" s="1" t="s">
        <v>3254</v>
      </c>
      <c r="K1132" s="1" t="n">
        <f aca="false">IF(Search!$D$5="",0,IF(AND(OR(Search!$N$5="",ISNUMBER(SEARCH(Search!$N$5,J1132))),OR(Search!$N$6="",ISNUMBER(SEARCH(Search!$N$6,J1132))),OR(Search!$N$7="",ISNUMBER(SEARCH(Search!$N$7,J1132))),OR(Search!$N$8="",ISNUMBER(SEARCH(Search!$N$8,J1132)))),1,0))</f>
        <v>0</v>
      </c>
      <c r="L1132" s="1" t="n">
        <f aca="false">L1131+K1132</f>
        <v>0</v>
      </c>
    </row>
    <row r="1133" customFormat="false" ht="15" hidden="false" customHeight="true" outlineLevel="0" collapsed="false">
      <c r="A1133" s="1" t="s">
        <v>300</v>
      </c>
      <c r="B1133" s="1" t="s">
        <v>1221</v>
      </c>
      <c r="C1133" s="1" t="n">
        <v>78</v>
      </c>
      <c r="E1133" s="1" t="s">
        <v>2031</v>
      </c>
      <c r="F1133" s="1" t="s">
        <v>3255</v>
      </c>
      <c r="G1133" s="1" t="s">
        <v>1409</v>
      </c>
      <c r="H1133" s="1" t="s">
        <v>3256</v>
      </c>
      <c r="I1133" s="1" t="s">
        <v>3257</v>
      </c>
      <c r="J1133" s="1" t="s">
        <v>3258</v>
      </c>
      <c r="K1133" s="1" t="n">
        <f aca="false">IF(Search!$D$5="",0,IF(AND(OR(Search!$N$5="",ISNUMBER(SEARCH(Search!$N$5,J1133))),OR(Search!$N$6="",ISNUMBER(SEARCH(Search!$N$6,J1133))),OR(Search!$N$7="",ISNUMBER(SEARCH(Search!$N$7,J1133))),OR(Search!$N$8="",ISNUMBER(SEARCH(Search!$N$8,J1133)))),1,0))</f>
        <v>0</v>
      </c>
      <c r="L1133" s="1" t="n">
        <f aca="false">L1132+K1133</f>
        <v>0</v>
      </c>
    </row>
    <row r="1134" customFormat="false" ht="15" hidden="false" customHeight="true" outlineLevel="0" collapsed="false">
      <c r="A1134" s="1" t="s">
        <v>300</v>
      </c>
      <c r="B1134" s="1" t="s">
        <v>1221</v>
      </c>
      <c r="C1134" s="1" t="n">
        <v>79</v>
      </c>
      <c r="E1134" s="1" t="s">
        <v>2062</v>
      </c>
      <c r="F1134" s="1" t="s">
        <v>524</v>
      </c>
      <c r="G1134" s="1" t="s">
        <v>987</v>
      </c>
      <c r="H1134" s="1" t="s">
        <v>2629</v>
      </c>
      <c r="I1134" s="1" t="s">
        <v>2630</v>
      </c>
      <c r="J1134" s="1" t="s">
        <v>3259</v>
      </c>
      <c r="K1134" s="1" t="n">
        <f aca="false">IF(Search!$D$5="",0,IF(AND(OR(Search!$N$5="",ISNUMBER(SEARCH(Search!$N$5,J1134))),OR(Search!$N$6="",ISNUMBER(SEARCH(Search!$N$6,J1134))),OR(Search!$N$7="",ISNUMBER(SEARCH(Search!$N$7,J1134))),OR(Search!$N$8="",ISNUMBER(SEARCH(Search!$N$8,J1134)))),1,0))</f>
        <v>0</v>
      </c>
      <c r="L1134" s="1" t="n">
        <f aca="false">L1133+K1134</f>
        <v>0</v>
      </c>
    </row>
    <row r="1135" customFormat="false" ht="15" hidden="false" customHeight="true" outlineLevel="0" collapsed="false">
      <c r="A1135" s="1" t="s">
        <v>300</v>
      </c>
      <c r="B1135" s="1" t="s">
        <v>1221</v>
      </c>
      <c r="C1135" s="1" t="n">
        <v>80</v>
      </c>
      <c r="E1135" s="1" t="s">
        <v>2062</v>
      </c>
      <c r="F1135" s="1" t="s">
        <v>524</v>
      </c>
      <c r="G1135" s="1" t="s">
        <v>2358</v>
      </c>
      <c r="H1135" s="1" t="s">
        <v>3260</v>
      </c>
      <c r="I1135" s="1" t="s">
        <v>3261</v>
      </c>
      <c r="J1135" s="1" t="s">
        <v>3262</v>
      </c>
      <c r="K1135" s="1" t="n">
        <f aca="false">IF(Search!$D$5="",0,IF(AND(OR(Search!$N$5="",ISNUMBER(SEARCH(Search!$N$5,J1135))),OR(Search!$N$6="",ISNUMBER(SEARCH(Search!$N$6,J1135))),OR(Search!$N$7="",ISNUMBER(SEARCH(Search!$N$7,J1135))),OR(Search!$N$8="",ISNUMBER(SEARCH(Search!$N$8,J1135)))),1,0))</f>
        <v>0</v>
      </c>
      <c r="L1135" s="1" t="n">
        <f aca="false">L1134+K1135</f>
        <v>0</v>
      </c>
    </row>
    <row r="1136" customFormat="false" ht="15" hidden="false" customHeight="true" outlineLevel="0" collapsed="false">
      <c r="A1136" s="1" t="s">
        <v>300</v>
      </c>
      <c r="B1136" s="1" t="s">
        <v>1221</v>
      </c>
      <c r="C1136" s="1" t="n">
        <v>81</v>
      </c>
      <c r="E1136" s="1" t="s">
        <v>2062</v>
      </c>
      <c r="F1136" s="1" t="s">
        <v>524</v>
      </c>
      <c r="G1136" s="1" t="s">
        <v>1830</v>
      </c>
      <c r="H1136" s="1" t="s">
        <v>3251</v>
      </c>
      <c r="I1136" s="1" t="s">
        <v>3252</v>
      </c>
      <c r="J1136" s="1" t="s">
        <v>3263</v>
      </c>
      <c r="K1136" s="1" t="n">
        <f aca="false">IF(Search!$D$5="",0,IF(AND(OR(Search!$N$5="",ISNUMBER(SEARCH(Search!$N$5,J1136))),OR(Search!$N$6="",ISNUMBER(SEARCH(Search!$N$6,J1136))),OR(Search!$N$7="",ISNUMBER(SEARCH(Search!$N$7,J1136))),OR(Search!$N$8="",ISNUMBER(SEARCH(Search!$N$8,J1136)))),1,0))</f>
        <v>0</v>
      </c>
      <c r="L1136" s="1" t="n">
        <f aca="false">L1135+K1136</f>
        <v>0</v>
      </c>
    </row>
    <row r="1137" customFormat="false" ht="15" hidden="false" customHeight="true" outlineLevel="0" collapsed="false">
      <c r="A1137" s="1" t="s">
        <v>300</v>
      </c>
      <c r="B1137" s="1" t="s">
        <v>1221</v>
      </c>
      <c r="C1137" s="1" t="n">
        <v>82</v>
      </c>
      <c r="E1137" s="1" t="s">
        <v>2062</v>
      </c>
      <c r="F1137" s="1" t="s">
        <v>524</v>
      </c>
      <c r="G1137" s="1" t="s">
        <v>2377</v>
      </c>
      <c r="H1137" s="1" t="s">
        <v>2456</v>
      </c>
      <c r="I1137" s="1" t="s">
        <v>2457</v>
      </c>
      <c r="J1137" s="1" t="s">
        <v>3264</v>
      </c>
      <c r="K1137" s="1" t="n">
        <f aca="false">IF(Search!$D$5="",0,IF(AND(OR(Search!$N$5="",ISNUMBER(SEARCH(Search!$N$5,J1137))),OR(Search!$N$6="",ISNUMBER(SEARCH(Search!$N$6,J1137))),OR(Search!$N$7="",ISNUMBER(SEARCH(Search!$N$7,J1137))),OR(Search!$N$8="",ISNUMBER(SEARCH(Search!$N$8,J1137)))),1,0))</f>
        <v>0</v>
      </c>
      <c r="L1137" s="1" t="n">
        <f aca="false">L1136+K1137</f>
        <v>0</v>
      </c>
    </row>
    <row r="1138" customFormat="false" ht="15" hidden="false" customHeight="true" outlineLevel="0" collapsed="false">
      <c r="A1138" s="1" t="s">
        <v>300</v>
      </c>
      <c r="B1138" s="1" t="s">
        <v>1221</v>
      </c>
      <c r="C1138" s="1" t="n">
        <v>83</v>
      </c>
      <c r="E1138" s="1" t="s">
        <v>2062</v>
      </c>
      <c r="F1138" s="1" t="s">
        <v>524</v>
      </c>
      <c r="G1138" s="1" t="s">
        <v>1834</v>
      </c>
      <c r="H1138" s="1" t="s">
        <v>1769</v>
      </c>
      <c r="I1138" s="1" t="s">
        <v>1770</v>
      </c>
      <c r="J1138" s="1" t="s">
        <v>3265</v>
      </c>
      <c r="K1138" s="1" t="n">
        <f aca="false">IF(Search!$D$5="",0,IF(AND(OR(Search!$N$5="",ISNUMBER(SEARCH(Search!$N$5,J1138))),OR(Search!$N$6="",ISNUMBER(SEARCH(Search!$N$6,J1138))),OR(Search!$N$7="",ISNUMBER(SEARCH(Search!$N$7,J1138))),OR(Search!$N$8="",ISNUMBER(SEARCH(Search!$N$8,J1138)))),1,0))</f>
        <v>0</v>
      </c>
      <c r="L1138" s="1" t="n">
        <f aca="false">L1137+K1138</f>
        <v>0</v>
      </c>
    </row>
    <row r="1139" customFormat="false" ht="15" hidden="false" customHeight="true" outlineLevel="0" collapsed="false">
      <c r="A1139" s="1" t="s">
        <v>300</v>
      </c>
      <c r="B1139" s="1" t="s">
        <v>1221</v>
      </c>
      <c r="C1139" s="1" t="n">
        <v>84</v>
      </c>
      <c r="E1139" s="1" t="s">
        <v>2062</v>
      </c>
      <c r="F1139" s="1" t="s">
        <v>524</v>
      </c>
      <c r="G1139" s="1" t="s">
        <v>1838</v>
      </c>
      <c r="H1139" s="1" t="s">
        <v>3266</v>
      </c>
      <c r="I1139" s="1" t="s">
        <v>3267</v>
      </c>
      <c r="J1139" s="1" t="s">
        <v>3268</v>
      </c>
      <c r="K1139" s="1" t="n">
        <f aca="false">IF(Search!$D$5="",0,IF(AND(OR(Search!$N$5="",ISNUMBER(SEARCH(Search!$N$5,J1139))),OR(Search!$N$6="",ISNUMBER(SEARCH(Search!$N$6,J1139))),OR(Search!$N$7="",ISNUMBER(SEARCH(Search!$N$7,J1139))),OR(Search!$N$8="",ISNUMBER(SEARCH(Search!$N$8,J1139)))),1,0))</f>
        <v>0</v>
      </c>
      <c r="L1139" s="1" t="n">
        <f aca="false">L1138+K1139</f>
        <v>0</v>
      </c>
    </row>
    <row r="1140" customFormat="false" ht="15" hidden="false" customHeight="true" outlineLevel="0" collapsed="false">
      <c r="A1140" s="1" t="s">
        <v>300</v>
      </c>
      <c r="B1140" s="1" t="s">
        <v>1221</v>
      </c>
      <c r="C1140" s="1" t="n">
        <v>85</v>
      </c>
      <c r="E1140" s="1" t="s">
        <v>2052</v>
      </c>
      <c r="F1140" s="1" t="s">
        <v>3269</v>
      </c>
      <c r="G1140" s="1" t="s">
        <v>1409</v>
      </c>
      <c r="H1140" s="1" t="s">
        <v>3270</v>
      </c>
      <c r="I1140" s="1" t="s">
        <v>3271</v>
      </c>
      <c r="J1140" s="1" t="s">
        <v>3272</v>
      </c>
      <c r="K1140" s="1" t="n">
        <f aca="false">IF(Search!$D$5="",0,IF(AND(OR(Search!$N$5="",ISNUMBER(SEARCH(Search!$N$5,J1140))),OR(Search!$N$6="",ISNUMBER(SEARCH(Search!$N$6,J1140))),OR(Search!$N$7="",ISNUMBER(SEARCH(Search!$N$7,J1140))),OR(Search!$N$8="",ISNUMBER(SEARCH(Search!$N$8,J1140)))),1,0))</f>
        <v>0</v>
      </c>
      <c r="L1140" s="1" t="n">
        <f aca="false">L1139+K1140</f>
        <v>0</v>
      </c>
    </row>
    <row r="1141" customFormat="false" ht="15" hidden="false" customHeight="true" outlineLevel="0" collapsed="false">
      <c r="A1141" s="1" t="s">
        <v>300</v>
      </c>
      <c r="B1141" s="1" t="s">
        <v>1221</v>
      </c>
      <c r="C1141" s="1" t="n">
        <v>86</v>
      </c>
      <c r="E1141" s="1" t="s">
        <v>2717</v>
      </c>
      <c r="F1141" s="1" t="s">
        <v>524</v>
      </c>
      <c r="G1141" s="1" t="s">
        <v>987</v>
      </c>
      <c r="H1141" s="1" t="s">
        <v>3273</v>
      </c>
      <c r="I1141" s="1" t="s">
        <v>3274</v>
      </c>
      <c r="J1141" s="1" t="s">
        <v>3275</v>
      </c>
      <c r="K1141" s="1" t="n">
        <f aca="false">IF(Search!$D$5="",0,IF(AND(OR(Search!$N$5="",ISNUMBER(SEARCH(Search!$N$5,J1141))),OR(Search!$N$6="",ISNUMBER(SEARCH(Search!$N$6,J1141))),OR(Search!$N$7="",ISNUMBER(SEARCH(Search!$N$7,J1141))),OR(Search!$N$8="",ISNUMBER(SEARCH(Search!$N$8,J1141)))),1,0))</f>
        <v>0</v>
      </c>
      <c r="L1141" s="1" t="n">
        <f aca="false">L1140+K1141</f>
        <v>0</v>
      </c>
    </row>
    <row r="1142" customFormat="false" ht="15" hidden="false" customHeight="true" outlineLevel="0" collapsed="false">
      <c r="A1142" s="1" t="s">
        <v>300</v>
      </c>
      <c r="B1142" s="1" t="s">
        <v>1221</v>
      </c>
      <c r="C1142" s="1" t="n">
        <v>87</v>
      </c>
      <c r="E1142" s="1" t="s">
        <v>2717</v>
      </c>
      <c r="F1142" s="1" t="s">
        <v>524</v>
      </c>
      <c r="G1142" s="1" t="s">
        <v>2358</v>
      </c>
      <c r="H1142" s="1" t="s">
        <v>2453</v>
      </c>
      <c r="I1142" s="1" t="s">
        <v>2454</v>
      </c>
      <c r="J1142" s="1" t="s">
        <v>3276</v>
      </c>
      <c r="K1142" s="1" t="n">
        <f aca="false">IF(Search!$D$5="",0,IF(AND(OR(Search!$N$5="",ISNUMBER(SEARCH(Search!$N$5,J1142))),OR(Search!$N$6="",ISNUMBER(SEARCH(Search!$N$6,J1142))),OR(Search!$N$7="",ISNUMBER(SEARCH(Search!$N$7,J1142))),OR(Search!$N$8="",ISNUMBER(SEARCH(Search!$N$8,J1142)))),1,0))</f>
        <v>0</v>
      </c>
      <c r="L1142" s="1" t="n">
        <f aca="false">L1141+K1142</f>
        <v>0</v>
      </c>
    </row>
    <row r="1143" customFormat="false" ht="15" hidden="false" customHeight="true" outlineLevel="0" collapsed="false">
      <c r="A1143" s="1" t="s">
        <v>300</v>
      </c>
      <c r="B1143" s="1" t="s">
        <v>1221</v>
      </c>
      <c r="C1143" s="1" t="n">
        <v>88</v>
      </c>
      <c r="E1143" s="1" t="s">
        <v>2717</v>
      </c>
      <c r="F1143" s="1" t="s">
        <v>524</v>
      </c>
      <c r="G1143" s="1" t="s">
        <v>1830</v>
      </c>
      <c r="H1143" s="1" t="s">
        <v>2456</v>
      </c>
      <c r="I1143" s="1" t="s">
        <v>2457</v>
      </c>
      <c r="J1143" s="1" t="s">
        <v>3277</v>
      </c>
      <c r="K1143" s="1" t="n">
        <f aca="false">IF(Search!$D$5="",0,IF(AND(OR(Search!$N$5="",ISNUMBER(SEARCH(Search!$N$5,J1143))),OR(Search!$N$6="",ISNUMBER(SEARCH(Search!$N$6,J1143))),OR(Search!$N$7="",ISNUMBER(SEARCH(Search!$N$7,J1143))),OR(Search!$N$8="",ISNUMBER(SEARCH(Search!$N$8,J1143)))),1,0))</f>
        <v>0</v>
      </c>
      <c r="L1143" s="1" t="n">
        <f aca="false">L1142+K1143</f>
        <v>0</v>
      </c>
    </row>
    <row r="1144" customFormat="false" ht="15" hidden="false" customHeight="true" outlineLevel="0" collapsed="false">
      <c r="A1144" s="1" t="s">
        <v>300</v>
      </c>
      <c r="B1144" s="1" t="s">
        <v>1221</v>
      </c>
      <c r="C1144" s="1" t="n">
        <v>89</v>
      </c>
      <c r="E1144" s="1" t="s">
        <v>2717</v>
      </c>
      <c r="F1144" s="1" t="s">
        <v>524</v>
      </c>
      <c r="G1144" s="1" t="s">
        <v>2377</v>
      </c>
      <c r="H1144" s="1" t="s">
        <v>2459</v>
      </c>
      <c r="I1144" s="1" t="s">
        <v>2460</v>
      </c>
      <c r="J1144" s="1" t="s">
        <v>3278</v>
      </c>
      <c r="K1144" s="1" t="n">
        <f aca="false">IF(Search!$D$5="",0,IF(AND(OR(Search!$N$5="",ISNUMBER(SEARCH(Search!$N$5,J1144))),OR(Search!$N$6="",ISNUMBER(SEARCH(Search!$N$6,J1144))),OR(Search!$N$7="",ISNUMBER(SEARCH(Search!$N$7,J1144))),OR(Search!$N$8="",ISNUMBER(SEARCH(Search!$N$8,J1144)))),1,0))</f>
        <v>0</v>
      </c>
      <c r="L1144" s="1" t="n">
        <f aca="false">L1143+K1144</f>
        <v>0</v>
      </c>
    </row>
    <row r="1145" customFormat="false" ht="15" hidden="false" customHeight="true" outlineLevel="0" collapsed="false">
      <c r="A1145" s="1" t="s">
        <v>300</v>
      </c>
      <c r="B1145" s="1" t="s">
        <v>1221</v>
      </c>
      <c r="C1145" s="1" t="n">
        <v>90</v>
      </c>
      <c r="E1145" s="1" t="s">
        <v>2717</v>
      </c>
      <c r="F1145" s="1" t="s">
        <v>524</v>
      </c>
      <c r="G1145" s="1" t="s">
        <v>1834</v>
      </c>
      <c r="H1145" s="1" t="s">
        <v>2241</v>
      </c>
      <c r="I1145" s="1" t="s">
        <v>2242</v>
      </c>
      <c r="J1145" s="1" t="s">
        <v>3279</v>
      </c>
      <c r="K1145" s="1" t="n">
        <f aca="false">IF(Search!$D$5="",0,IF(AND(OR(Search!$N$5="",ISNUMBER(SEARCH(Search!$N$5,J1145))),OR(Search!$N$6="",ISNUMBER(SEARCH(Search!$N$6,J1145))),OR(Search!$N$7="",ISNUMBER(SEARCH(Search!$N$7,J1145))),OR(Search!$N$8="",ISNUMBER(SEARCH(Search!$N$8,J1145)))),1,0))</f>
        <v>0</v>
      </c>
      <c r="L1145" s="1" t="n">
        <f aca="false">L1144+K1145</f>
        <v>0</v>
      </c>
    </row>
    <row r="1146" customFormat="false" ht="15" hidden="false" customHeight="true" outlineLevel="0" collapsed="false">
      <c r="A1146" s="1" t="s">
        <v>300</v>
      </c>
      <c r="B1146" s="1" t="s">
        <v>1221</v>
      </c>
      <c r="C1146" s="1" t="n">
        <v>91</v>
      </c>
      <c r="E1146" s="1" t="s">
        <v>2717</v>
      </c>
      <c r="F1146" s="1" t="s">
        <v>524</v>
      </c>
      <c r="G1146" s="1" t="s">
        <v>1838</v>
      </c>
      <c r="H1146" s="1" t="s">
        <v>588</v>
      </c>
      <c r="I1146" s="1" t="s">
        <v>2050</v>
      </c>
      <c r="J1146" s="1" t="s">
        <v>3280</v>
      </c>
      <c r="K1146" s="1" t="n">
        <f aca="false">IF(Search!$D$5="",0,IF(AND(OR(Search!$N$5="",ISNUMBER(SEARCH(Search!$N$5,J1146))),OR(Search!$N$6="",ISNUMBER(SEARCH(Search!$N$6,J1146))),OR(Search!$N$7="",ISNUMBER(SEARCH(Search!$N$7,J1146))),OR(Search!$N$8="",ISNUMBER(SEARCH(Search!$N$8,J1146)))),1,0))</f>
        <v>0</v>
      </c>
      <c r="L1146" s="1" t="n">
        <f aca="false">L1145+K1146</f>
        <v>0</v>
      </c>
    </row>
    <row r="1147" customFormat="false" ht="15" hidden="false" customHeight="true" outlineLevel="0" collapsed="false">
      <c r="A1147" s="1" t="s">
        <v>300</v>
      </c>
      <c r="B1147" s="1" t="s">
        <v>1221</v>
      </c>
      <c r="C1147" s="1" t="n">
        <v>92</v>
      </c>
      <c r="E1147" s="1" t="s">
        <v>2717</v>
      </c>
      <c r="F1147" s="1" t="s">
        <v>524</v>
      </c>
      <c r="G1147" s="1" t="s">
        <v>1929</v>
      </c>
      <c r="H1147" s="1" t="s">
        <v>3281</v>
      </c>
      <c r="I1147" s="1" t="s">
        <v>3282</v>
      </c>
      <c r="J1147" s="1" t="s">
        <v>3283</v>
      </c>
      <c r="K1147" s="1" t="n">
        <f aca="false">IF(Search!$D$5="",0,IF(AND(OR(Search!$N$5="",ISNUMBER(SEARCH(Search!$N$5,J1147))),OR(Search!$N$6="",ISNUMBER(SEARCH(Search!$N$6,J1147))),OR(Search!$N$7="",ISNUMBER(SEARCH(Search!$N$7,J1147))),OR(Search!$N$8="",ISNUMBER(SEARCH(Search!$N$8,J1147)))),1,0))</f>
        <v>0</v>
      </c>
      <c r="L1147" s="1" t="n">
        <f aca="false">L1146+K1147</f>
        <v>0</v>
      </c>
    </row>
    <row r="1148" customFormat="false" ht="15" hidden="false" customHeight="true" outlineLevel="0" collapsed="false">
      <c r="A1148" s="1" t="s">
        <v>300</v>
      </c>
      <c r="B1148" s="1" t="s">
        <v>1221</v>
      </c>
      <c r="C1148" s="1" t="n">
        <v>93</v>
      </c>
      <c r="E1148" s="1" t="s">
        <v>2094</v>
      </c>
      <c r="F1148" s="1" t="s">
        <v>3284</v>
      </c>
      <c r="G1148" s="1" t="s">
        <v>987</v>
      </c>
      <c r="H1148" s="1" t="s">
        <v>1693</v>
      </c>
      <c r="I1148" s="1" t="s">
        <v>1694</v>
      </c>
      <c r="J1148" s="1" t="s">
        <v>3285</v>
      </c>
      <c r="K1148" s="1" t="n">
        <f aca="false">IF(Search!$D$5="",0,IF(AND(OR(Search!$N$5="",ISNUMBER(SEARCH(Search!$N$5,J1148))),OR(Search!$N$6="",ISNUMBER(SEARCH(Search!$N$6,J1148))),OR(Search!$N$7="",ISNUMBER(SEARCH(Search!$N$7,J1148))),OR(Search!$N$8="",ISNUMBER(SEARCH(Search!$N$8,J1148)))),1,0))</f>
        <v>0</v>
      </c>
      <c r="L1148" s="1" t="n">
        <f aca="false">L1147+K1148</f>
        <v>0</v>
      </c>
    </row>
    <row r="1149" customFormat="false" ht="15" hidden="false" customHeight="true" outlineLevel="0" collapsed="false">
      <c r="A1149" s="1" t="s">
        <v>300</v>
      </c>
      <c r="B1149" s="1" t="s">
        <v>1221</v>
      </c>
      <c r="C1149" s="1" t="n">
        <v>94</v>
      </c>
      <c r="E1149" s="1" t="s">
        <v>749</v>
      </c>
      <c r="F1149" s="1" t="s">
        <v>524</v>
      </c>
      <c r="G1149" s="1" t="s">
        <v>1830</v>
      </c>
      <c r="H1149" s="1" t="s">
        <v>1745</v>
      </c>
      <c r="I1149" s="1" t="s">
        <v>1746</v>
      </c>
      <c r="J1149" s="1" t="s">
        <v>3286</v>
      </c>
      <c r="K1149" s="1" t="n">
        <f aca="false">IF(Search!$D$5="",0,IF(AND(OR(Search!$N$5="",ISNUMBER(SEARCH(Search!$N$5,J1149))),OR(Search!$N$6="",ISNUMBER(SEARCH(Search!$N$6,J1149))),OR(Search!$N$7="",ISNUMBER(SEARCH(Search!$N$7,J1149))),OR(Search!$N$8="",ISNUMBER(SEARCH(Search!$N$8,J1149)))),1,0))</f>
        <v>0</v>
      </c>
      <c r="L1149" s="1" t="n">
        <f aca="false">L1148+K1149</f>
        <v>0</v>
      </c>
    </row>
    <row r="1150" customFormat="false" ht="15" hidden="false" customHeight="true" outlineLevel="0" collapsed="false">
      <c r="A1150" s="1" t="s">
        <v>300</v>
      </c>
      <c r="B1150" s="1" t="s">
        <v>1221</v>
      </c>
      <c r="C1150" s="1" t="n">
        <v>95</v>
      </c>
      <c r="E1150" s="1" t="s">
        <v>749</v>
      </c>
      <c r="F1150" s="1" t="s">
        <v>524</v>
      </c>
      <c r="G1150" s="1" t="s">
        <v>2377</v>
      </c>
      <c r="H1150" s="1" t="s">
        <v>2075</v>
      </c>
      <c r="I1150" s="1" t="s">
        <v>2076</v>
      </c>
      <c r="J1150" s="1" t="s">
        <v>3287</v>
      </c>
      <c r="K1150" s="1" t="n">
        <f aca="false">IF(Search!$D$5="",0,IF(AND(OR(Search!$N$5="",ISNUMBER(SEARCH(Search!$N$5,J1150))),OR(Search!$N$6="",ISNUMBER(SEARCH(Search!$N$6,J1150))),OR(Search!$N$7="",ISNUMBER(SEARCH(Search!$N$7,J1150))),OR(Search!$N$8="",ISNUMBER(SEARCH(Search!$N$8,J1150)))),1,0))</f>
        <v>0</v>
      </c>
      <c r="L1150" s="1" t="n">
        <f aca="false">L1149+K1150</f>
        <v>0</v>
      </c>
    </row>
    <row r="1151" customFormat="false" ht="15" hidden="false" customHeight="true" outlineLevel="0" collapsed="false">
      <c r="A1151" s="1" t="s">
        <v>300</v>
      </c>
      <c r="B1151" s="1" t="s">
        <v>1221</v>
      </c>
      <c r="C1151" s="1" t="n">
        <v>96</v>
      </c>
      <c r="E1151" s="1" t="s">
        <v>749</v>
      </c>
      <c r="F1151" s="1" t="s">
        <v>524</v>
      </c>
      <c r="G1151" s="1" t="s">
        <v>1834</v>
      </c>
      <c r="H1151" s="1" t="s">
        <v>3288</v>
      </c>
      <c r="I1151" s="1" t="s">
        <v>3289</v>
      </c>
      <c r="J1151" s="1" t="s">
        <v>3290</v>
      </c>
      <c r="K1151" s="1" t="n">
        <f aca="false">IF(Search!$D$5="",0,IF(AND(OR(Search!$N$5="",ISNUMBER(SEARCH(Search!$N$5,J1151))),OR(Search!$N$6="",ISNUMBER(SEARCH(Search!$N$6,J1151))),OR(Search!$N$7="",ISNUMBER(SEARCH(Search!$N$7,J1151))),OR(Search!$N$8="",ISNUMBER(SEARCH(Search!$N$8,J1151)))),1,0))</f>
        <v>0</v>
      </c>
      <c r="L1151" s="1" t="n">
        <f aca="false">L1150+K1151</f>
        <v>0</v>
      </c>
    </row>
    <row r="1152" customFormat="false" ht="15" hidden="false" customHeight="true" outlineLevel="0" collapsed="false">
      <c r="A1152" s="1" t="s">
        <v>300</v>
      </c>
      <c r="B1152" s="1" t="s">
        <v>1221</v>
      </c>
      <c r="C1152" s="1" t="n">
        <v>97</v>
      </c>
      <c r="E1152" s="1" t="s">
        <v>749</v>
      </c>
      <c r="F1152" s="1" t="s">
        <v>524</v>
      </c>
      <c r="G1152" s="1" t="s">
        <v>1838</v>
      </c>
      <c r="H1152" s="1" t="s">
        <v>2680</v>
      </c>
      <c r="I1152" s="1" t="s">
        <v>3291</v>
      </c>
      <c r="J1152" s="1" t="s">
        <v>3292</v>
      </c>
      <c r="K1152" s="1" t="n">
        <f aca="false">IF(Search!$D$5="",0,IF(AND(OR(Search!$N$5="",ISNUMBER(SEARCH(Search!$N$5,J1152))),OR(Search!$N$6="",ISNUMBER(SEARCH(Search!$N$6,J1152))),OR(Search!$N$7="",ISNUMBER(SEARCH(Search!$N$7,J1152))),OR(Search!$N$8="",ISNUMBER(SEARCH(Search!$N$8,J1152)))),1,0))</f>
        <v>0</v>
      </c>
      <c r="L1152" s="1" t="n">
        <f aca="false">L1151+K1152</f>
        <v>0</v>
      </c>
    </row>
    <row r="1153" customFormat="false" ht="15" hidden="false" customHeight="true" outlineLevel="0" collapsed="false">
      <c r="A1153" s="1" t="s">
        <v>300</v>
      </c>
      <c r="B1153" s="1" t="s">
        <v>1221</v>
      </c>
      <c r="C1153" s="1" t="n">
        <v>98</v>
      </c>
      <c r="E1153" s="1" t="s">
        <v>749</v>
      </c>
      <c r="F1153" s="1" t="s">
        <v>524</v>
      </c>
      <c r="G1153" s="1" t="s">
        <v>1929</v>
      </c>
      <c r="H1153" s="1" t="s">
        <v>3293</v>
      </c>
      <c r="I1153" s="1" t="s">
        <v>3294</v>
      </c>
      <c r="J1153" s="1" t="s">
        <v>3295</v>
      </c>
      <c r="K1153" s="1" t="n">
        <f aca="false">IF(Search!$D$5="",0,IF(AND(OR(Search!$N$5="",ISNUMBER(SEARCH(Search!$N$5,J1153))),OR(Search!$N$6="",ISNUMBER(SEARCH(Search!$N$6,J1153))),OR(Search!$N$7="",ISNUMBER(SEARCH(Search!$N$7,J1153))),OR(Search!$N$8="",ISNUMBER(SEARCH(Search!$N$8,J1153)))),1,0))</f>
        <v>0</v>
      </c>
      <c r="L1153" s="1" t="n">
        <f aca="false">L1152+K1153</f>
        <v>0</v>
      </c>
    </row>
    <row r="1154" customFormat="false" ht="15" hidden="false" customHeight="true" outlineLevel="0" collapsed="false">
      <c r="A1154" s="1" t="s">
        <v>300</v>
      </c>
      <c r="B1154" s="1" t="s">
        <v>1221</v>
      </c>
      <c r="C1154" s="1" t="n">
        <v>99</v>
      </c>
      <c r="E1154" s="1" t="s">
        <v>2128</v>
      </c>
      <c r="F1154" s="1" t="s">
        <v>3296</v>
      </c>
      <c r="G1154" s="1" t="s">
        <v>2377</v>
      </c>
      <c r="H1154" s="1" t="s">
        <v>3297</v>
      </c>
      <c r="I1154" s="1" t="s">
        <v>3298</v>
      </c>
      <c r="J1154" s="1" t="s">
        <v>3299</v>
      </c>
      <c r="K1154" s="1" t="n">
        <f aca="false">IF(Search!$D$5="",0,IF(AND(OR(Search!$N$5="",ISNUMBER(SEARCH(Search!$N$5,J1154))),OR(Search!$N$6="",ISNUMBER(SEARCH(Search!$N$6,J1154))),OR(Search!$N$7="",ISNUMBER(SEARCH(Search!$N$7,J1154))),OR(Search!$N$8="",ISNUMBER(SEARCH(Search!$N$8,J1154)))),1,0))</f>
        <v>0</v>
      </c>
      <c r="L1154" s="1" t="n">
        <f aca="false">L1153+K1154</f>
        <v>0</v>
      </c>
    </row>
    <row r="1155" customFormat="false" ht="15" hidden="false" customHeight="true" outlineLevel="0" collapsed="false">
      <c r="A1155" s="1" t="s">
        <v>300</v>
      </c>
      <c r="B1155" s="1" t="s">
        <v>1221</v>
      </c>
      <c r="C1155" s="1" t="n">
        <v>100</v>
      </c>
      <c r="E1155" s="1" t="s">
        <v>2723</v>
      </c>
      <c r="F1155" s="1" t="s">
        <v>524</v>
      </c>
      <c r="G1155" s="1" t="s">
        <v>1834</v>
      </c>
      <c r="H1155" s="1" t="s">
        <v>3297</v>
      </c>
      <c r="I1155" s="1" t="s">
        <v>3298</v>
      </c>
      <c r="J1155" s="1" t="s">
        <v>3300</v>
      </c>
      <c r="K1155" s="1" t="n">
        <f aca="false">IF(Search!$D$5="",0,IF(AND(OR(Search!$N$5="",ISNUMBER(SEARCH(Search!$N$5,J1155))),OR(Search!$N$6="",ISNUMBER(SEARCH(Search!$N$6,J1155))),OR(Search!$N$7="",ISNUMBER(SEARCH(Search!$N$7,J1155))),OR(Search!$N$8="",ISNUMBER(SEARCH(Search!$N$8,J1155)))),1,0))</f>
        <v>0</v>
      </c>
      <c r="L1155" s="1" t="n">
        <f aca="false">L1154+K1155</f>
        <v>0</v>
      </c>
    </row>
    <row r="1156" customFormat="false" ht="15" hidden="false" customHeight="true" outlineLevel="0" collapsed="false">
      <c r="A1156" s="1" t="s">
        <v>300</v>
      </c>
      <c r="B1156" s="1" t="s">
        <v>1221</v>
      </c>
      <c r="C1156" s="1" t="n">
        <v>101</v>
      </c>
      <c r="E1156" s="1" t="s">
        <v>2723</v>
      </c>
      <c r="F1156" s="1" t="s">
        <v>524</v>
      </c>
      <c r="G1156" s="1" t="s">
        <v>1838</v>
      </c>
      <c r="H1156" s="1" t="s">
        <v>2766</v>
      </c>
      <c r="I1156" s="1" t="s">
        <v>3301</v>
      </c>
      <c r="J1156" s="1" t="s">
        <v>3302</v>
      </c>
      <c r="K1156" s="1" t="n">
        <f aca="false">IF(Search!$D$5="",0,IF(AND(OR(Search!$N$5="",ISNUMBER(SEARCH(Search!$N$5,J1156))),OR(Search!$N$6="",ISNUMBER(SEARCH(Search!$N$6,J1156))),OR(Search!$N$7="",ISNUMBER(SEARCH(Search!$N$7,J1156))),OR(Search!$N$8="",ISNUMBER(SEARCH(Search!$N$8,J1156)))),1,0))</f>
        <v>0</v>
      </c>
      <c r="L1156" s="1" t="n">
        <f aca="false">L1155+K1156</f>
        <v>0</v>
      </c>
    </row>
    <row r="1157" customFormat="false" ht="15" hidden="false" customHeight="true" outlineLevel="0" collapsed="false">
      <c r="A1157" s="1" t="s">
        <v>300</v>
      </c>
      <c r="B1157" s="1" t="s">
        <v>1221</v>
      </c>
      <c r="C1157" s="1" t="n">
        <v>102</v>
      </c>
      <c r="E1157" s="1" t="s">
        <v>2723</v>
      </c>
      <c r="F1157" s="1" t="s">
        <v>524</v>
      </c>
      <c r="G1157" s="1" t="s">
        <v>1929</v>
      </c>
      <c r="H1157" s="1" t="s">
        <v>3303</v>
      </c>
      <c r="I1157" s="1" t="s">
        <v>3304</v>
      </c>
      <c r="J1157" s="1" t="s">
        <v>3305</v>
      </c>
      <c r="K1157" s="1" t="n">
        <f aca="false">IF(Search!$D$5="",0,IF(AND(OR(Search!$N$5="",ISNUMBER(SEARCH(Search!$N$5,J1157))),OR(Search!$N$6="",ISNUMBER(SEARCH(Search!$N$6,J1157))),OR(Search!$N$7="",ISNUMBER(SEARCH(Search!$N$7,J1157))),OR(Search!$N$8="",ISNUMBER(SEARCH(Search!$N$8,J1157)))),1,0))</f>
        <v>0</v>
      </c>
      <c r="L1157" s="1" t="n">
        <f aca="false">L1156+K1157</f>
        <v>0</v>
      </c>
    </row>
    <row r="1158" customFormat="false" ht="15" hidden="false" customHeight="true" outlineLevel="0" collapsed="false">
      <c r="A1158" s="1" t="s">
        <v>300</v>
      </c>
      <c r="B1158" s="1" t="s">
        <v>1221</v>
      </c>
      <c r="C1158" s="1" t="n">
        <v>103</v>
      </c>
      <c r="E1158" s="1" t="s">
        <v>2723</v>
      </c>
      <c r="F1158" s="1" t="s">
        <v>524</v>
      </c>
      <c r="G1158" s="1" t="s">
        <v>627</v>
      </c>
      <c r="H1158" s="1" t="s">
        <v>1795</v>
      </c>
      <c r="I1158" s="1" t="s">
        <v>1796</v>
      </c>
      <c r="J1158" s="1" t="s">
        <v>3306</v>
      </c>
      <c r="K1158" s="1" t="n">
        <f aca="false">IF(Search!$D$5="",0,IF(AND(OR(Search!$N$5="",ISNUMBER(SEARCH(Search!$N$5,J1158))),OR(Search!$N$6="",ISNUMBER(SEARCH(Search!$N$6,J1158))),OR(Search!$N$7="",ISNUMBER(SEARCH(Search!$N$7,J1158))),OR(Search!$N$8="",ISNUMBER(SEARCH(Search!$N$8,J1158)))),1,0))</f>
        <v>0</v>
      </c>
      <c r="L1158" s="1" t="n">
        <f aca="false">L1157+K1158</f>
        <v>0</v>
      </c>
    </row>
    <row r="1159" customFormat="false" ht="15" hidden="false" customHeight="true" outlineLevel="0" collapsed="false">
      <c r="A1159" s="1" t="s">
        <v>300</v>
      </c>
      <c r="B1159" s="1" t="s">
        <v>1221</v>
      </c>
      <c r="C1159" s="1" t="n">
        <v>104</v>
      </c>
      <c r="E1159" s="1" t="s">
        <v>2143</v>
      </c>
      <c r="F1159" s="1" t="s">
        <v>3307</v>
      </c>
      <c r="G1159" s="1" t="s">
        <v>1834</v>
      </c>
      <c r="H1159" s="1" t="s">
        <v>3308</v>
      </c>
      <c r="I1159" s="1" t="s">
        <v>3309</v>
      </c>
      <c r="J1159" s="1" t="s">
        <v>3310</v>
      </c>
      <c r="K1159" s="1" t="n">
        <f aca="false">IF(Search!$D$5="",0,IF(AND(OR(Search!$N$5="",ISNUMBER(SEARCH(Search!$N$5,J1159))),OR(Search!$N$6="",ISNUMBER(SEARCH(Search!$N$6,J1159))),OR(Search!$N$7="",ISNUMBER(SEARCH(Search!$N$7,J1159))),OR(Search!$N$8="",ISNUMBER(SEARCH(Search!$N$8,J1159)))),1,0))</f>
        <v>0</v>
      </c>
      <c r="L1159" s="1" t="n">
        <f aca="false">L1158+K1159</f>
        <v>0</v>
      </c>
    </row>
    <row r="1160" customFormat="false" ht="15" hidden="false" customHeight="true" outlineLevel="0" collapsed="false">
      <c r="A1160" s="1" t="s">
        <v>300</v>
      </c>
      <c r="B1160" s="1" t="s">
        <v>1221</v>
      </c>
      <c r="C1160" s="1" t="n">
        <v>105</v>
      </c>
      <c r="E1160" s="1" t="s">
        <v>436</v>
      </c>
      <c r="F1160" s="1" t="s">
        <v>524</v>
      </c>
      <c r="G1160" s="1" t="s">
        <v>1838</v>
      </c>
      <c r="H1160" s="1" t="s">
        <v>3311</v>
      </c>
      <c r="I1160" s="1" t="s">
        <v>3294</v>
      </c>
      <c r="J1160" s="1" t="s">
        <v>3312</v>
      </c>
      <c r="K1160" s="1" t="n">
        <f aca="false">IF(Search!$D$5="",0,IF(AND(OR(Search!$N$5="",ISNUMBER(SEARCH(Search!$N$5,J1160))),OR(Search!$N$6="",ISNUMBER(SEARCH(Search!$N$6,J1160))),OR(Search!$N$7="",ISNUMBER(SEARCH(Search!$N$7,J1160))),OR(Search!$N$8="",ISNUMBER(SEARCH(Search!$N$8,J1160)))),1,0))</f>
        <v>0</v>
      </c>
      <c r="L1160" s="1" t="n">
        <f aca="false">L1159+K1160</f>
        <v>0</v>
      </c>
    </row>
    <row r="1161" customFormat="false" ht="15" hidden="false" customHeight="true" outlineLevel="0" collapsed="false">
      <c r="A1161" s="1" t="s">
        <v>300</v>
      </c>
      <c r="B1161" s="1" t="s">
        <v>1221</v>
      </c>
      <c r="C1161" s="1" t="n">
        <v>106</v>
      </c>
      <c r="E1161" s="1" t="s">
        <v>436</v>
      </c>
      <c r="F1161" s="1" t="s">
        <v>524</v>
      </c>
      <c r="G1161" s="1" t="s">
        <v>1929</v>
      </c>
      <c r="H1161" s="1" t="s">
        <v>2153</v>
      </c>
      <c r="I1161" s="1" t="s">
        <v>2154</v>
      </c>
      <c r="J1161" s="1" t="s">
        <v>3313</v>
      </c>
      <c r="K1161" s="1" t="n">
        <f aca="false">IF(Search!$D$5="",0,IF(AND(OR(Search!$N$5="",ISNUMBER(SEARCH(Search!$N$5,J1161))),OR(Search!$N$6="",ISNUMBER(SEARCH(Search!$N$6,J1161))),OR(Search!$N$7="",ISNUMBER(SEARCH(Search!$N$7,J1161))),OR(Search!$N$8="",ISNUMBER(SEARCH(Search!$N$8,J1161)))),1,0))</f>
        <v>0</v>
      </c>
      <c r="L1161" s="1" t="n">
        <f aca="false">L1160+K1161</f>
        <v>0</v>
      </c>
    </row>
    <row r="1162" customFormat="false" ht="15" hidden="false" customHeight="true" outlineLevel="0" collapsed="false">
      <c r="A1162" s="1" t="s">
        <v>300</v>
      </c>
      <c r="B1162" s="1" t="s">
        <v>1221</v>
      </c>
      <c r="C1162" s="1" t="n">
        <v>107</v>
      </c>
      <c r="E1162" s="1" t="s">
        <v>436</v>
      </c>
      <c r="F1162" s="1" t="s">
        <v>524</v>
      </c>
      <c r="G1162" s="1" t="s">
        <v>627</v>
      </c>
      <c r="H1162" s="1" t="s">
        <v>3314</v>
      </c>
      <c r="I1162" s="1" t="s">
        <v>3315</v>
      </c>
      <c r="J1162" s="1" t="s">
        <v>3316</v>
      </c>
      <c r="K1162" s="1" t="n">
        <f aca="false">IF(Search!$D$5="",0,IF(AND(OR(Search!$N$5="",ISNUMBER(SEARCH(Search!$N$5,J1162))),OR(Search!$N$6="",ISNUMBER(SEARCH(Search!$N$6,J1162))),OR(Search!$N$7="",ISNUMBER(SEARCH(Search!$N$7,J1162))),OR(Search!$N$8="",ISNUMBER(SEARCH(Search!$N$8,J1162)))),1,0))</f>
        <v>0</v>
      </c>
      <c r="L1162" s="1" t="n">
        <f aca="false">L1161+K1162</f>
        <v>0</v>
      </c>
    </row>
    <row r="1163" customFormat="false" ht="15" hidden="false" customHeight="true" outlineLevel="0" collapsed="false">
      <c r="A1163" s="1" t="s">
        <v>300</v>
      </c>
      <c r="B1163" s="1" t="s">
        <v>1221</v>
      </c>
      <c r="C1163" s="1" t="n">
        <v>108</v>
      </c>
      <c r="E1163" s="1" t="s">
        <v>2149</v>
      </c>
      <c r="F1163" s="1" t="s">
        <v>3317</v>
      </c>
      <c r="G1163" s="1" t="s">
        <v>1838</v>
      </c>
      <c r="H1163" s="1" t="s">
        <v>3318</v>
      </c>
      <c r="I1163" s="1" t="s">
        <v>3319</v>
      </c>
      <c r="J1163" s="1" t="s">
        <v>3320</v>
      </c>
      <c r="K1163" s="1" t="n">
        <f aca="false">IF(Search!$D$5="",0,IF(AND(OR(Search!$N$5="",ISNUMBER(SEARCH(Search!$N$5,J1163))),OR(Search!$N$6="",ISNUMBER(SEARCH(Search!$N$6,J1163))),OR(Search!$N$7="",ISNUMBER(SEARCH(Search!$N$7,J1163))),OR(Search!$N$8="",ISNUMBER(SEARCH(Search!$N$8,J1163)))),1,0))</f>
        <v>0</v>
      </c>
      <c r="L1163" s="1" t="n">
        <f aca="false">L1162+K1163</f>
        <v>0</v>
      </c>
    </row>
    <row r="1164" customFormat="false" ht="15" hidden="false" customHeight="true" outlineLevel="0" collapsed="false">
      <c r="A1164" s="1" t="s">
        <v>300</v>
      </c>
      <c r="B1164" s="1" t="s">
        <v>1221</v>
      </c>
      <c r="C1164" s="1" t="n">
        <v>109</v>
      </c>
      <c r="E1164" s="1" t="s">
        <v>712</v>
      </c>
      <c r="F1164" s="1" t="s">
        <v>524</v>
      </c>
      <c r="G1164" s="1" t="s">
        <v>1904</v>
      </c>
      <c r="H1164" s="1" t="s">
        <v>3321</v>
      </c>
      <c r="I1164" s="1" t="s">
        <v>3322</v>
      </c>
      <c r="J1164" s="1" t="s">
        <v>3323</v>
      </c>
      <c r="K1164" s="1" t="n">
        <f aca="false">IF(Search!$D$5="",0,IF(AND(OR(Search!$N$5="",ISNUMBER(SEARCH(Search!$N$5,J1164))),OR(Search!$N$6="",ISNUMBER(SEARCH(Search!$N$6,J1164))),OR(Search!$N$7="",ISNUMBER(SEARCH(Search!$N$7,J1164))),OR(Search!$N$8="",ISNUMBER(SEARCH(Search!$N$8,J1164)))),1,0))</f>
        <v>0</v>
      </c>
      <c r="L1164" s="1" t="n">
        <f aca="false">L1163+K1164</f>
        <v>0</v>
      </c>
    </row>
    <row r="1165" customFormat="false" ht="15" hidden="false" customHeight="true" outlineLevel="0" collapsed="false">
      <c r="A1165" s="1" t="s">
        <v>300</v>
      </c>
      <c r="B1165" s="1" t="s">
        <v>1221</v>
      </c>
      <c r="C1165" s="1" t="n">
        <v>110</v>
      </c>
      <c r="E1165" s="1" t="s">
        <v>712</v>
      </c>
      <c r="F1165" s="1" t="s">
        <v>524</v>
      </c>
      <c r="G1165" s="1" t="s">
        <v>1929</v>
      </c>
      <c r="H1165" s="1" t="s">
        <v>3324</v>
      </c>
      <c r="I1165" s="1" t="s">
        <v>3325</v>
      </c>
      <c r="J1165" s="1" t="s">
        <v>3326</v>
      </c>
      <c r="K1165" s="1" t="n">
        <f aca="false">IF(Search!$D$5="",0,IF(AND(OR(Search!$N$5="",ISNUMBER(SEARCH(Search!$N$5,J1165))),OR(Search!$N$6="",ISNUMBER(SEARCH(Search!$N$6,J1165))),OR(Search!$N$7="",ISNUMBER(SEARCH(Search!$N$7,J1165))),OR(Search!$N$8="",ISNUMBER(SEARCH(Search!$N$8,J1165)))),1,0))</f>
        <v>0</v>
      </c>
      <c r="L1165" s="1" t="n">
        <f aca="false">L1164+K1165</f>
        <v>0</v>
      </c>
    </row>
    <row r="1166" customFormat="false" ht="15" hidden="false" customHeight="true" outlineLevel="0" collapsed="false">
      <c r="A1166" s="1" t="s">
        <v>300</v>
      </c>
      <c r="B1166" s="1" t="s">
        <v>1221</v>
      </c>
      <c r="C1166" s="1" t="n">
        <v>111</v>
      </c>
      <c r="E1166" s="1" t="s">
        <v>712</v>
      </c>
      <c r="F1166" s="1" t="s">
        <v>524</v>
      </c>
      <c r="G1166" s="1" t="s">
        <v>627</v>
      </c>
      <c r="H1166" s="1" t="s">
        <v>3327</v>
      </c>
      <c r="I1166" s="1" t="s">
        <v>3328</v>
      </c>
      <c r="J1166" s="1" t="s">
        <v>3329</v>
      </c>
      <c r="K1166" s="1" t="n">
        <f aca="false">IF(Search!$D$5="",0,IF(AND(OR(Search!$N$5="",ISNUMBER(SEARCH(Search!$N$5,J1166))),OR(Search!$N$6="",ISNUMBER(SEARCH(Search!$N$6,J1166))),OR(Search!$N$7="",ISNUMBER(SEARCH(Search!$N$7,J1166))),OR(Search!$N$8="",ISNUMBER(SEARCH(Search!$N$8,J1166)))),1,0))</f>
        <v>0</v>
      </c>
      <c r="L1166" s="1" t="n">
        <f aca="false">L1165+K1166</f>
        <v>0</v>
      </c>
    </row>
    <row r="1167" customFormat="false" ht="15" hidden="false" customHeight="true" outlineLevel="0" collapsed="false">
      <c r="A1167" s="1" t="s">
        <v>300</v>
      </c>
      <c r="B1167" s="1" t="s">
        <v>1221</v>
      </c>
      <c r="C1167" s="1" t="n">
        <v>112</v>
      </c>
      <c r="E1167" s="1" t="s">
        <v>2176</v>
      </c>
      <c r="F1167" s="1" t="s">
        <v>3330</v>
      </c>
      <c r="G1167" s="1" t="s">
        <v>1838</v>
      </c>
      <c r="H1167" s="1" t="s">
        <v>3331</v>
      </c>
      <c r="I1167" s="1" t="s">
        <v>3332</v>
      </c>
      <c r="J1167" s="1" t="s">
        <v>3333</v>
      </c>
      <c r="K1167" s="1" t="n">
        <f aca="false">IF(Search!$D$5="",0,IF(AND(OR(Search!$N$5="",ISNUMBER(SEARCH(Search!$N$5,J1167))),OR(Search!$N$6="",ISNUMBER(SEARCH(Search!$N$6,J1167))),OR(Search!$N$7="",ISNUMBER(SEARCH(Search!$N$7,J1167))),OR(Search!$N$8="",ISNUMBER(SEARCH(Search!$N$8,J1167)))),1,0))</f>
        <v>0</v>
      </c>
      <c r="L1167" s="1" t="n">
        <f aca="false">L1166+K1167</f>
        <v>0</v>
      </c>
    </row>
    <row r="1168" customFormat="false" ht="15" hidden="false" customHeight="true" outlineLevel="0" collapsed="false">
      <c r="A1168" s="1" t="s">
        <v>300</v>
      </c>
      <c r="B1168" s="1" t="s">
        <v>1221</v>
      </c>
      <c r="C1168" s="1" t="n">
        <v>113</v>
      </c>
      <c r="E1168" s="1" t="s">
        <v>2737</v>
      </c>
      <c r="F1168" s="1" t="s">
        <v>524</v>
      </c>
      <c r="G1168" s="1" t="s">
        <v>1904</v>
      </c>
      <c r="H1168" s="1" t="s">
        <v>3334</v>
      </c>
      <c r="I1168" s="1" t="s">
        <v>3335</v>
      </c>
      <c r="J1168" s="1" t="s">
        <v>3336</v>
      </c>
      <c r="K1168" s="1" t="n">
        <f aca="false">IF(Search!$D$5="",0,IF(AND(OR(Search!$N$5="",ISNUMBER(SEARCH(Search!$N$5,J1168))),OR(Search!$N$6="",ISNUMBER(SEARCH(Search!$N$6,J1168))),OR(Search!$N$7="",ISNUMBER(SEARCH(Search!$N$7,J1168))),OR(Search!$N$8="",ISNUMBER(SEARCH(Search!$N$8,J1168)))),1,0))</f>
        <v>0</v>
      </c>
      <c r="L1168" s="1" t="n">
        <f aca="false">L1167+K1168</f>
        <v>0</v>
      </c>
    </row>
    <row r="1169" customFormat="false" ht="15" hidden="false" customHeight="true" outlineLevel="0" collapsed="false">
      <c r="A1169" s="1" t="s">
        <v>300</v>
      </c>
      <c r="B1169" s="1" t="s">
        <v>1221</v>
      </c>
      <c r="C1169" s="1" t="n">
        <v>114</v>
      </c>
      <c r="E1169" s="1" t="s">
        <v>2737</v>
      </c>
      <c r="F1169" s="1" t="s">
        <v>524</v>
      </c>
      <c r="G1169" s="1" t="s">
        <v>1929</v>
      </c>
      <c r="H1169" s="1" t="s">
        <v>3337</v>
      </c>
      <c r="I1169" s="1" t="s">
        <v>3338</v>
      </c>
      <c r="J1169" s="1" t="s">
        <v>3339</v>
      </c>
      <c r="K1169" s="1" t="n">
        <f aca="false">IF(Search!$D$5="",0,IF(AND(OR(Search!$N$5="",ISNUMBER(SEARCH(Search!$N$5,J1169))),OR(Search!$N$6="",ISNUMBER(SEARCH(Search!$N$6,J1169))),OR(Search!$N$7="",ISNUMBER(SEARCH(Search!$N$7,J1169))),OR(Search!$N$8="",ISNUMBER(SEARCH(Search!$N$8,J1169)))),1,0))</f>
        <v>0</v>
      </c>
      <c r="L1169" s="1" t="n">
        <f aca="false">L1168+K1169</f>
        <v>0</v>
      </c>
    </row>
    <row r="1170" customFormat="false" ht="15" hidden="false" customHeight="true" outlineLevel="0" collapsed="false">
      <c r="A1170" s="1" t="s">
        <v>300</v>
      </c>
      <c r="B1170" s="1" t="s">
        <v>1221</v>
      </c>
      <c r="C1170" s="1" t="n">
        <v>115</v>
      </c>
      <c r="E1170" s="1" t="s">
        <v>2737</v>
      </c>
      <c r="F1170" s="1" t="s">
        <v>524</v>
      </c>
      <c r="G1170" s="1" t="s">
        <v>627</v>
      </c>
      <c r="H1170" s="1" t="s">
        <v>3340</v>
      </c>
      <c r="I1170" s="1" t="s">
        <v>3341</v>
      </c>
      <c r="J1170" s="1" t="s">
        <v>3342</v>
      </c>
      <c r="K1170" s="1" t="n">
        <f aca="false">IF(Search!$D$5="",0,IF(AND(OR(Search!$N$5="",ISNUMBER(SEARCH(Search!$N$5,J1170))),OR(Search!$N$6="",ISNUMBER(SEARCH(Search!$N$6,J1170))),OR(Search!$N$7="",ISNUMBER(SEARCH(Search!$N$7,J1170))),OR(Search!$N$8="",ISNUMBER(SEARCH(Search!$N$8,J1170)))),1,0))</f>
        <v>0</v>
      </c>
      <c r="L1170" s="1" t="n">
        <f aca="false">L1169+K1170</f>
        <v>0</v>
      </c>
    </row>
    <row r="1171" customFormat="false" ht="15" hidden="false" customHeight="true" outlineLevel="0" collapsed="false">
      <c r="A1171" s="1" t="s">
        <v>300</v>
      </c>
      <c r="B1171" s="1" t="s">
        <v>1221</v>
      </c>
      <c r="C1171" s="1" t="n">
        <v>116</v>
      </c>
      <c r="E1171" s="1" t="s">
        <v>2737</v>
      </c>
      <c r="F1171" s="1" t="s">
        <v>524</v>
      </c>
      <c r="G1171" s="1" t="s">
        <v>2081</v>
      </c>
      <c r="H1171" s="1" t="s">
        <v>3343</v>
      </c>
      <c r="I1171" s="1" t="s">
        <v>3344</v>
      </c>
      <c r="J1171" s="1" t="s">
        <v>3345</v>
      </c>
      <c r="K1171" s="1" t="n">
        <f aca="false">IF(Search!$D$5="",0,IF(AND(OR(Search!$N$5="",ISNUMBER(SEARCH(Search!$N$5,J1171))),OR(Search!$N$6="",ISNUMBER(SEARCH(Search!$N$6,J1171))),OR(Search!$N$7="",ISNUMBER(SEARCH(Search!$N$7,J1171))),OR(Search!$N$8="",ISNUMBER(SEARCH(Search!$N$8,J1171)))),1,0))</f>
        <v>0</v>
      </c>
      <c r="L1171" s="1" t="n">
        <f aca="false">L1170+K1171</f>
        <v>0</v>
      </c>
    </row>
    <row r="1172" customFormat="false" ht="15" hidden="false" customHeight="true" outlineLevel="0" collapsed="false">
      <c r="A1172" s="1" t="s">
        <v>300</v>
      </c>
      <c r="B1172" s="1" t="s">
        <v>1221</v>
      </c>
      <c r="C1172" s="1" t="n">
        <v>117</v>
      </c>
      <c r="E1172" s="1" t="s">
        <v>3346</v>
      </c>
      <c r="F1172" s="1" t="s">
        <v>3075</v>
      </c>
      <c r="G1172" s="1" t="s">
        <v>1838</v>
      </c>
      <c r="H1172" s="1" t="s">
        <v>3347</v>
      </c>
      <c r="I1172" s="1" t="s">
        <v>3348</v>
      </c>
      <c r="J1172" s="1" t="s">
        <v>3349</v>
      </c>
      <c r="K1172" s="1" t="n">
        <f aca="false">IF(Search!$D$5="",0,IF(AND(OR(Search!$N$5="",ISNUMBER(SEARCH(Search!$N$5,J1172))),OR(Search!$N$6="",ISNUMBER(SEARCH(Search!$N$6,J1172))),OR(Search!$N$7="",ISNUMBER(SEARCH(Search!$N$7,J1172))),OR(Search!$N$8="",ISNUMBER(SEARCH(Search!$N$8,J1172)))),1,0))</f>
        <v>0</v>
      </c>
      <c r="L1172" s="1" t="n">
        <f aca="false">L1171+K1172</f>
        <v>0</v>
      </c>
    </row>
    <row r="1173" customFormat="false" ht="15" hidden="false" customHeight="true" outlineLevel="0" collapsed="false">
      <c r="A1173" s="1" t="s">
        <v>300</v>
      </c>
      <c r="B1173" s="1" t="s">
        <v>1221</v>
      </c>
      <c r="C1173" s="1" t="n">
        <v>118</v>
      </c>
      <c r="E1173" s="1" t="s">
        <v>729</v>
      </c>
      <c r="F1173" s="1" t="s">
        <v>524</v>
      </c>
      <c r="G1173" s="1" t="s">
        <v>1929</v>
      </c>
      <c r="H1173" s="1" t="s">
        <v>3350</v>
      </c>
      <c r="I1173" s="1" t="s">
        <v>3351</v>
      </c>
      <c r="J1173" s="1" t="s">
        <v>3352</v>
      </c>
      <c r="K1173" s="1" t="n">
        <f aca="false">IF(Search!$D$5="",0,IF(AND(OR(Search!$N$5="",ISNUMBER(SEARCH(Search!$N$5,J1173))),OR(Search!$N$6="",ISNUMBER(SEARCH(Search!$N$6,J1173))),OR(Search!$N$7="",ISNUMBER(SEARCH(Search!$N$7,J1173))),OR(Search!$N$8="",ISNUMBER(SEARCH(Search!$N$8,J1173)))),1,0))</f>
        <v>0</v>
      </c>
      <c r="L1173" s="1" t="n">
        <f aca="false">L1172+K1173</f>
        <v>0</v>
      </c>
    </row>
    <row r="1174" customFormat="false" ht="15" hidden="false" customHeight="true" outlineLevel="0" collapsed="false">
      <c r="A1174" s="1" t="s">
        <v>300</v>
      </c>
      <c r="B1174" s="1" t="s">
        <v>1221</v>
      </c>
      <c r="C1174" s="1" t="n">
        <v>119</v>
      </c>
      <c r="E1174" s="1" t="s">
        <v>729</v>
      </c>
      <c r="F1174" s="1" t="s">
        <v>524</v>
      </c>
      <c r="G1174" s="1" t="s">
        <v>627</v>
      </c>
      <c r="H1174" s="1" t="s">
        <v>3353</v>
      </c>
      <c r="I1174" s="1" t="s">
        <v>3354</v>
      </c>
      <c r="J1174" s="1" t="s">
        <v>3355</v>
      </c>
      <c r="K1174" s="1" t="n">
        <f aca="false">IF(Search!$D$5="",0,IF(AND(OR(Search!$N$5="",ISNUMBER(SEARCH(Search!$N$5,J1174))),OR(Search!$N$6="",ISNUMBER(SEARCH(Search!$N$6,J1174))),OR(Search!$N$7="",ISNUMBER(SEARCH(Search!$N$7,J1174))),OR(Search!$N$8="",ISNUMBER(SEARCH(Search!$N$8,J1174)))),1,0))</f>
        <v>0</v>
      </c>
      <c r="L1174" s="1" t="n">
        <f aca="false">L1173+K1174</f>
        <v>0</v>
      </c>
    </row>
    <row r="1175" customFormat="false" ht="15" hidden="false" customHeight="true" outlineLevel="0" collapsed="false">
      <c r="A1175" s="1" t="s">
        <v>300</v>
      </c>
      <c r="B1175" s="1" t="s">
        <v>1221</v>
      </c>
      <c r="C1175" s="1" t="n">
        <v>120</v>
      </c>
      <c r="E1175" s="1" t="s">
        <v>729</v>
      </c>
      <c r="F1175" s="1" t="s">
        <v>524</v>
      </c>
      <c r="G1175" s="1" t="s">
        <v>2081</v>
      </c>
      <c r="H1175" s="1" t="s">
        <v>2129</v>
      </c>
      <c r="I1175" s="1" t="s">
        <v>3356</v>
      </c>
      <c r="J1175" s="1" t="s">
        <v>3357</v>
      </c>
      <c r="K1175" s="1" t="n">
        <f aca="false">IF(Search!$D$5="",0,IF(AND(OR(Search!$N$5="",ISNUMBER(SEARCH(Search!$N$5,J1175))),OR(Search!$N$6="",ISNUMBER(SEARCH(Search!$N$6,J1175))),OR(Search!$N$7="",ISNUMBER(SEARCH(Search!$N$7,J1175))),OR(Search!$N$8="",ISNUMBER(SEARCH(Search!$N$8,J1175)))),1,0))</f>
        <v>0</v>
      </c>
      <c r="L1175" s="1" t="n">
        <f aca="false">L1174+K1175</f>
        <v>0</v>
      </c>
    </row>
    <row r="1176" customFormat="false" ht="15" hidden="false" customHeight="true" outlineLevel="0" collapsed="false">
      <c r="A1176" s="1" t="s">
        <v>300</v>
      </c>
      <c r="B1176" s="1" t="s">
        <v>1221</v>
      </c>
      <c r="C1176" s="1" t="n">
        <v>121</v>
      </c>
      <c r="E1176" s="1" t="s">
        <v>3358</v>
      </c>
      <c r="F1176" s="1" t="s">
        <v>3359</v>
      </c>
      <c r="G1176" s="1" t="s">
        <v>1929</v>
      </c>
      <c r="H1176" s="1" t="s">
        <v>3360</v>
      </c>
      <c r="I1176" s="1" t="s">
        <v>3361</v>
      </c>
      <c r="J1176" s="1" t="s">
        <v>3362</v>
      </c>
      <c r="K1176" s="1" t="n">
        <f aca="false">IF(Search!$D$5="",0,IF(AND(OR(Search!$N$5="",ISNUMBER(SEARCH(Search!$N$5,J1176))),OR(Search!$N$6="",ISNUMBER(SEARCH(Search!$N$6,J1176))),OR(Search!$N$7="",ISNUMBER(SEARCH(Search!$N$7,J1176))),OR(Search!$N$8="",ISNUMBER(SEARCH(Search!$N$8,J1176)))),1,0))</f>
        <v>0</v>
      </c>
      <c r="L1176" s="1" t="n">
        <f aca="false">L1175+K1176</f>
        <v>0</v>
      </c>
    </row>
    <row r="1177" customFormat="false" ht="15" hidden="false" customHeight="true" outlineLevel="0" collapsed="false">
      <c r="A1177" s="1" t="s">
        <v>300</v>
      </c>
      <c r="B1177" s="1" t="s">
        <v>1221</v>
      </c>
      <c r="C1177" s="1" t="n">
        <v>122</v>
      </c>
      <c r="E1177" s="1" t="s">
        <v>457</v>
      </c>
      <c r="F1177" s="1" t="s">
        <v>524</v>
      </c>
      <c r="G1177" s="1" t="s">
        <v>627</v>
      </c>
      <c r="H1177" s="1" t="s">
        <v>3363</v>
      </c>
      <c r="I1177" s="1" t="s">
        <v>3364</v>
      </c>
      <c r="J1177" s="1" t="s">
        <v>3365</v>
      </c>
      <c r="K1177" s="1" t="n">
        <f aca="false">IF(Search!$D$5="",0,IF(AND(OR(Search!$N$5="",ISNUMBER(SEARCH(Search!$N$5,J1177))),OR(Search!$N$6="",ISNUMBER(SEARCH(Search!$N$6,J1177))),OR(Search!$N$7="",ISNUMBER(SEARCH(Search!$N$7,J1177))),OR(Search!$N$8="",ISNUMBER(SEARCH(Search!$N$8,J1177)))),1,0))</f>
        <v>0</v>
      </c>
      <c r="L1177" s="1" t="n">
        <f aca="false">L1176+K1177</f>
        <v>0</v>
      </c>
    </row>
    <row r="1178" customFormat="false" ht="15" hidden="false" customHeight="true" outlineLevel="0" collapsed="false">
      <c r="A1178" s="1" t="s">
        <v>300</v>
      </c>
      <c r="B1178" s="1" t="s">
        <v>1221</v>
      </c>
      <c r="C1178" s="1" t="n">
        <v>123</v>
      </c>
      <c r="E1178" s="1" t="s">
        <v>457</v>
      </c>
      <c r="F1178" s="1" t="s">
        <v>524</v>
      </c>
      <c r="G1178" s="1" t="s">
        <v>2081</v>
      </c>
      <c r="H1178" s="1" t="s">
        <v>3366</v>
      </c>
      <c r="I1178" s="1" t="s">
        <v>3367</v>
      </c>
      <c r="J1178" s="1" t="s">
        <v>3368</v>
      </c>
      <c r="K1178" s="1" t="n">
        <f aca="false">IF(Search!$D$5="",0,IF(AND(OR(Search!$N$5="",ISNUMBER(SEARCH(Search!$N$5,J1178))),OR(Search!$N$6="",ISNUMBER(SEARCH(Search!$N$6,J1178))),OR(Search!$N$7="",ISNUMBER(SEARCH(Search!$N$7,J1178))),OR(Search!$N$8="",ISNUMBER(SEARCH(Search!$N$8,J1178)))),1,0))</f>
        <v>0</v>
      </c>
      <c r="L1178" s="1" t="n">
        <f aca="false">L1177+K1178</f>
        <v>0</v>
      </c>
    </row>
    <row r="1179" customFormat="false" ht="15" hidden="false" customHeight="true" outlineLevel="0" collapsed="false">
      <c r="A1179" s="1" t="s">
        <v>300</v>
      </c>
      <c r="B1179" s="1" t="s">
        <v>1221</v>
      </c>
      <c r="C1179" s="1" t="n">
        <v>124</v>
      </c>
      <c r="E1179" s="1" t="s">
        <v>457</v>
      </c>
      <c r="F1179" s="1" t="s">
        <v>524</v>
      </c>
      <c r="G1179" s="1" t="s">
        <v>580</v>
      </c>
      <c r="H1179" s="1" t="s">
        <v>755</v>
      </c>
      <c r="I1179" s="1" t="s">
        <v>3369</v>
      </c>
      <c r="J1179" s="1" t="s">
        <v>3370</v>
      </c>
      <c r="K1179" s="1" t="n">
        <f aca="false">IF(Search!$D$5="",0,IF(AND(OR(Search!$N$5="",ISNUMBER(SEARCH(Search!$N$5,J1179))),OR(Search!$N$6="",ISNUMBER(SEARCH(Search!$N$6,J1179))),OR(Search!$N$7="",ISNUMBER(SEARCH(Search!$N$7,J1179))),OR(Search!$N$8="",ISNUMBER(SEARCH(Search!$N$8,J1179)))),1,0))</f>
        <v>0</v>
      </c>
      <c r="L1179" s="1" t="n">
        <f aca="false">L1178+K1179</f>
        <v>0</v>
      </c>
    </row>
    <row r="1180" customFormat="false" ht="15" hidden="false" customHeight="true" outlineLevel="0" collapsed="false">
      <c r="A1180" s="1" t="s">
        <v>300</v>
      </c>
      <c r="B1180" s="1" t="s">
        <v>1221</v>
      </c>
      <c r="C1180" s="1" t="n">
        <v>125</v>
      </c>
      <c r="E1180" s="1" t="s">
        <v>3371</v>
      </c>
      <c r="F1180" s="1" t="s">
        <v>3086</v>
      </c>
      <c r="G1180" s="1" t="s">
        <v>1929</v>
      </c>
      <c r="H1180" s="1" t="s">
        <v>3372</v>
      </c>
      <c r="I1180" s="1" t="s">
        <v>3373</v>
      </c>
      <c r="J1180" s="1" t="s">
        <v>3374</v>
      </c>
      <c r="K1180" s="1" t="n">
        <f aca="false">IF(Search!$D$5="",0,IF(AND(OR(Search!$N$5="",ISNUMBER(SEARCH(Search!$N$5,J1180))),OR(Search!$N$6="",ISNUMBER(SEARCH(Search!$N$6,J1180))),OR(Search!$N$7="",ISNUMBER(SEARCH(Search!$N$7,J1180))),OR(Search!$N$8="",ISNUMBER(SEARCH(Search!$N$8,J1180)))),1,0))</f>
        <v>0</v>
      </c>
      <c r="L1180" s="1" t="n">
        <f aca="false">L1179+K1180</f>
        <v>0</v>
      </c>
    </row>
    <row r="1181" customFormat="false" ht="15" hidden="false" customHeight="true" outlineLevel="0" collapsed="false">
      <c r="A1181" s="1" t="s">
        <v>300</v>
      </c>
      <c r="B1181" s="1" t="s">
        <v>1221</v>
      </c>
      <c r="C1181" s="1" t="n">
        <v>126</v>
      </c>
      <c r="E1181" s="1" t="s">
        <v>408</v>
      </c>
      <c r="F1181" s="1" t="s">
        <v>524</v>
      </c>
      <c r="G1181" s="1" t="s">
        <v>627</v>
      </c>
      <c r="H1181" s="1" t="s">
        <v>3375</v>
      </c>
      <c r="I1181" s="1" t="s">
        <v>3376</v>
      </c>
      <c r="J1181" s="1" t="s">
        <v>3377</v>
      </c>
      <c r="K1181" s="1" t="n">
        <f aca="false">IF(Search!$D$5="",0,IF(AND(OR(Search!$N$5="",ISNUMBER(SEARCH(Search!$N$5,J1181))),OR(Search!$N$6="",ISNUMBER(SEARCH(Search!$N$6,J1181))),OR(Search!$N$7="",ISNUMBER(SEARCH(Search!$N$7,J1181))),OR(Search!$N$8="",ISNUMBER(SEARCH(Search!$N$8,J1181)))),1,0))</f>
        <v>0</v>
      </c>
      <c r="L1181" s="1" t="n">
        <f aca="false">L1180+K1181</f>
        <v>0</v>
      </c>
    </row>
    <row r="1182" customFormat="false" ht="15" hidden="false" customHeight="true" outlineLevel="0" collapsed="false">
      <c r="A1182" s="1" t="s">
        <v>300</v>
      </c>
      <c r="B1182" s="1" t="s">
        <v>1221</v>
      </c>
      <c r="C1182" s="1" t="n">
        <v>127</v>
      </c>
      <c r="E1182" s="1" t="s">
        <v>408</v>
      </c>
      <c r="F1182" s="1" t="s">
        <v>524</v>
      </c>
      <c r="G1182" s="1" t="s">
        <v>2081</v>
      </c>
      <c r="H1182" s="1" t="s">
        <v>3378</v>
      </c>
      <c r="I1182" s="1" t="s">
        <v>3379</v>
      </c>
      <c r="J1182" s="1" t="s">
        <v>3380</v>
      </c>
      <c r="K1182" s="1" t="n">
        <f aca="false">IF(Search!$D$5="",0,IF(AND(OR(Search!$N$5="",ISNUMBER(SEARCH(Search!$N$5,J1182))),OR(Search!$N$6="",ISNUMBER(SEARCH(Search!$N$6,J1182))),OR(Search!$N$7="",ISNUMBER(SEARCH(Search!$N$7,J1182))),OR(Search!$N$8="",ISNUMBER(SEARCH(Search!$N$8,J1182)))),1,0))</f>
        <v>0</v>
      </c>
      <c r="L1182" s="1" t="n">
        <f aca="false">L1181+K1182</f>
        <v>0</v>
      </c>
    </row>
    <row r="1183" customFormat="false" ht="15" hidden="false" customHeight="true" outlineLevel="0" collapsed="false">
      <c r="A1183" s="1" t="s">
        <v>300</v>
      </c>
      <c r="B1183" s="1" t="s">
        <v>1221</v>
      </c>
      <c r="C1183" s="1" t="n">
        <v>128</v>
      </c>
      <c r="E1183" s="1" t="s">
        <v>408</v>
      </c>
      <c r="F1183" s="1" t="s">
        <v>524</v>
      </c>
      <c r="G1183" s="1" t="s">
        <v>580</v>
      </c>
      <c r="H1183" s="1" t="s">
        <v>716</v>
      </c>
      <c r="I1183" s="1" t="s">
        <v>3381</v>
      </c>
      <c r="J1183" s="1" t="s">
        <v>3382</v>
      </c>
      <c r="K1183" s="1" t="n">
        <f aca="false">IF(Search!$D$5="",0,IF(AND(OR(Search!$N$5="",ISNUMBER(SEARCH(Search!$N$5,J1183))),OR(Search!$N$6="",ISNUMBER(SEARCH(Search!$N$6,J1183))),OR(Search!$N$7="",ISNUMBER(SEARCH(Search!$N$7,J1183))),OR(Search!$N$8="",ISNUMBER(SEARCH(Search!$N$8,J1183)))),1,0))</f>
        <v>0</v>
      </c>
      <c r="L1183" s="1" t="n">
        <f aca="false">L1182+K1183</f>
        <v>0</v>
      </c>
    </row>
    <row r="1184" customFormat="false" ht="15" hidden="false" customHeight="true" outlineLevel="0" collapsed="false">
      <c r="A1184" s="1" t="s">
        <v>300</v>
      </c>
      <c r="B1184" s="1" t="s">
        <v>1221</v>
      </c>
      <c r="C1184" s="1" t="n">
        <v>131</v>
      </c>
      <c r="E1184" s="1" t="s">
        <v>3383</v>
      </c>
      <c r="J1184" s="1" t="s">
        <v>3383</v>
      </c>
      <c r="K1184" s="1" t="n">
        <f aca="false">IF(Search!$D$5="",0,IF(AND(OR(Search!$N$5="",ISNUMBER(SEARCH(Search!$N$5,J1184))),OR(Search!$N$6="",ISNUMBER(SEARCH(Search!$N$6,J1184))),OR(Search!$N$7="",ISNUMBER(SEARCH(Search!$N$7,J1184))),OR(Search!$N$8="",ISNUMBER(SEARCH(Search!$N$8,J1184)))),1,0))</f>
        <v>0</v>
      </c>
      <c r="L1184" s="1" t="n">
        <f aca="false">L1183+K1184</f>
        <v>0</v>
      </c>
    </row>
    <row r="1185" customFormat="false" ht="15" hidden="false" customHeight="true" outlineLevel="0" collapsed="false">
      <c r="A1185" s="1" t="s">
        <v>300</v>
      </c>
      <c r="B1185" s="1" t="s">
        <v>1221</v>
      </c>
      <c r="C1185" s="1" t="n">
        <v>132</v>
      </c>
      <c r="E1185" s="1" t="s">
        <v>1279</v>
      </c>
      <c r="J1185" s="1" t="s">
        <v>1279</v>
      </c>
      <c r="K1185" s="1" t="n">
        <f aca="false">IF(Search!$D$5="",0,IF(AND(OR(Search!$N$5="",ISNUMBER(SEARCH(Search!$N$5,J1185))),OR(Search!$N$6="",ISNUMBER(SEARCH(Search!$N$6,J1185))),OR(Search!$N$7="",ISNUMBER(SEARCH(Search!$N$7,J1185))),OR(Search!$N$8="",ISNUMBER(SEARCH(Search!$N$8,J1185)))),1,0))</f>
        <v>0</v>
      </c>
      <c r="L1185" s="1" t="n">
        <f aca="false">L1184+K1185</f>
        <v>0</v>
      </c>
    </row>
    <row r="1186" customFormat="false" ht="16.5" hidden="false" customHeight="true" outlineLevel="0" collapsed="false">
      <c r="A1186" s="1" t="s">
        <v>303</v>
      </c>
      <c r="B1186" s="1" t="s">
        <v>1221</v>
      </c>
      <c r="C1186" s="1" t="n">
        <v>2</v>
      </c>
      <c r="E1186" s="1" t="s">
        <v>3384</v>
      </c>
      <c r="J1186" s="1" t="s">
        <v>3384</v>
      </c>
      <c r="K1186" s="1" t="n">
        <f aca="false">IF(Search!$D$5="",0,IF(AND(OR(Search!$N$5="",ISNUMBER(SEARCH(Search!$N$5,J1186))),OR(Search!$N$6="",ISNUMBER(SEARCH(Search!$N$6,J1186))),OR(Search!$N$7="",ISNUMBER(SEARCH(Search!$N$7,J1186))),OR(Search!$N$8="",ISNUMBER(SEARCH(Search!$N$8,J1186)))),1,0))</f>
        <v>0</v>
      </c>
      <c r="L1186" s="1" t="n">
        <f aca="false">L1185+K1186</f>
        <v>0</v>
      </c>
    </row>
    <row r="1187" customFormat="false" ht="15" hidden="false" customHeight="true" outlineLevel="0" collapsed="false">
      <c r="A1187" s="1" t="s">
        <v>303</v>
      </c>
      <c r="B1187" s="1" t="s">
        <v>1221</v>
      </c>
      <c r="C1187" s="1" t="n">
        <v>3</v>
      </c>
      <c r="E1187" s="1" t="s">
        <v>3067</v>
      </c>
      <c r="J1187" s="1" t="s">
        <v>3067</v>
      </c>
      <c r="K1187" s="1" t="n">
        <f aca="false">IF(Search!$D$5="",0,IF(AND(OR(Search!$N$5="",ISNUMBER(SEARCH(Search!$N$5,J1187))),OR(Search!$N$6="",ISNUMBER(SEARCH(Search!$N$6,J1187))),OR(Search!$N$7="",ISNUMBER(SEARCH(Search!$N$7,J1187))),OR(Search!$N$8="",ISNUMBER(SEARCH(Search!$N$8,J1187)))),1,0))</f>
        <v>0</v>
      </c>
      <c r="L1187" s="1" t="n">
        <f aca="false">L1186+K1187</f>
        <v>0</v>
      </c>
    </row>
    <row r="1188" customFormat="false" ht="15" hidden="false" customHeight="true" outlineLevel="0" collapsed="false">
      <c r="A1188" s="1" t="s">
        <v>303</v>
      </c>
      <c r="B1188" s="1" t="s">
        <v>1221</v>
      </c>
      <c r="C1188" s="1" t="n">
        <v>5</v>
      </c>
      <c r="E1188" s="1" t="s">
        <v>3385</v>
      </c>
      <c r="J1188" s="1" t="s">
        <v>3385</v>
      </c>
      <c r="K1188" s="1" t="n">
        <f aca="false">IF(Search!$D$5="",0,IF(AND(OR(Search!$N$5="",ISNUMBER(SEARCH(Search!$N$5,J1188))),OR(Search!$N$6="",ISNUMBER(SEARCH(Search!$N$6,J1188))),OR(Search!$N$7="",ISNUMBER(SEARCH(Search!$N$7,J1188))),OR(Search!$N$8="",ISNUMBER(SEARCH(Search!$N$8,J1188)))),1,0))</f>
        <v>0</v>
      </c>
      <c r="L1188" s="1" t="n">
        <f aca="false">L1187+K1188</f>
        <v>0</v>
      </c>
    </row>
    <row r="1189" customFormat="false" ht="68.25" hidden="false" customHeight="true" outlineLevel="0" collapsed="false">
      <c r="A1189" s="1" t="s">
        <v>303</v>
      </c>
      <c r="B1189" s="1" t="s">
        <v>1221</v>
      </c>
      <c r="C1189" s="1" t="n">
        <v>6</v>
      </c>
      <c r="E1189" s="46" t="s">
        <v>3386</v>
      </c>
      <c r="F1189" s="46" t="s">
        <v>3387</v>
      </c>
      <c r="G1189" s="46" t="s">
        <v>3388</v>
      </c>
      <c r="H1189" s="1" t="s">
        <v>2196</v>
      </c>
      <c r="I1189" s="1" t="s">
        <v>2197</v>
      </c>
      <c r="J1189" s="46" t="s">
        <v>3389</v>
      </c>
      <c r="K1189" s="1" t="n">
        <f aca="false">IF(Search!$D$5="",0,IF(AND(OR(Search!$N$5="",ISNUMBER(SEARCH(Search!$N$5,J1189))),OR(Search!$N$6="",ISNUMBER(SEARCH(Search!$N$6,J1189))),OR(Search!$N$7="",ISNUMBER(SEARCH(Search!$N$7,J1189))),OR(Search!$N$8="",ISNUMBER(SEARCH(Search!$N$8,J1189)))),1,0))</f>
        <v>0</v>
      </c>
      <c r="L1189" s="1" t="n">
        <f aca="false">L1188+K1189</f>
        <v>0</v>
      </c>
    </row>
    <row r="1190" customFormat="false" ht="15" hidden="false" customHeight="true" outlineLevel="0" collapsed="false">
      <c r="A1190" s="1" t="s">
        <v>303</v>
      </c>
      <c r="B1190" s="1" t="s">
        <v>1221</v>
      </c>
      <c r="C1190" s="1" t="n">
        <v>7</v>
      </c>
      <c r="E1190" s="1" t="s">
        <v>3390</v>
      </c>
      <c r="F1190" s="1" t="s">
        <v>3391</v>
      </c>
      <c r="G1190" s="1" t="s">
        <v>1045</v>
      </c>
      <c r="H1190" s="1" t="s">
        <v>3392</v>
      </c>
      <c r="I1190" s="1" t="s">
        <v>3393</v>
      </c>
      <c r="J1190" s="1" t="s">
        <v>3394</v>
      </c>
      <c r="K1190" s="1" t="n">
        <f aca="false">IF(Search!$D$5="",0,IF(AND(OR(Search!$N$5="",ISNUMBER(SEARCH(Search!$N$5,J1190))),OR(Search!$N$6="",ISNUMBER(SEARCH(Search!$N$6,J1190))),OR(Search!$N$7="",ISNUMBER(SEARCH(Search!$N$7,J1190))),OR(Search!$N$8="",ISNUMBER(SEARCH(Search!$N$8,J1190)))),1,0))</f>
        <v>0</v>
      </c>
      <c r="L1190" s="1" t="n">
        <f aca="false">L1189+K1190</f>
        <v>0</v>
      </c>
    </row>
    <row r="1191" customFormat="false" ht="15" hidden="false" customHeight="true" outlineLevel="0" collapsed="false">
      <c r="A1191" s="1" t="s">
        <v>303</v>
      </c>
      <c r="B1191" s="1" t="s">
        <v>1221</v>
      </c>
      <c r="C1191" s="1" t="n">
        <v>8</v>
      </c>
      <c r="E1191" s="1" t="s">
        <v>580</v>
      </c>
      <c r="F1191" s="1" t="s">
        <v>1929</v>
      </c>
      <c r="G1191" s="1" t="s">
        <v>2838</v>
      </c>
      <c r="H1191" s="1" t="s">
        <v>3395</v>
      </c>
      <c r="I1191" s="1" t="s">
        <v>3396</v>
      </c>
      <c r="J1191" s="1" t="s">
        <v>3397</v>
      </c>
      <c r="K1191" s="1" t="n">
        <f aca="false">IF(Search!$D$5="",0,IF(AND(OR(Search!$N$5="",ISNUMBER(SEARCH(Search!$N$5,J1191))),OR(Search!$N$6="",ISNUMBER(SEARCH(Search!$N$6,J1191))),OR(Search!$N$7="",ISNUMBER(SEARCH(Search!$N$7,J1191))),OR(Search!$N$8="",ISNUMBER(SEARCH(Search!$N$8,J1191)))),1,0))</f>
        <v>0</v>
      </c>
      <c r="L1191" s="1" t="n">
        <f aca="false">L1190+K1191</f>
        <v>0</v>
      </c>
    </row>
    <row r="1192" customFormat="false" ht="15" hidden="false" customHeight="true" outlineLevel="0" collapsed="false">
      <c r="A1192" s="1" t="s">
        <v>303</v>
      </c>
      <c r="B1192" s="1" t="s">
        <v>1221</v>
      </c>
      <c r="C1192" s="1" t="n">
        <v>9</v>
      </c>
      <c r="E1192" s="1" t="s">
        <v>580</v>
      </c>
      <c r="F1192" s="1" t="s">
        <v>1929</v>
      </c>
      <c r="G1192" s="1" t="s">
        <v>1862</v>
      </c>
      <c r="H1192" s="1" t="s">
        <v>3398</v>
      </c>
      <c r="I1192" s="1" t="s">
        <v>3399</v>
      </c>
      <c r="J1192" s="1" t="s">
        <v>3400</v>
      </c>
      <c r="K1192" s="1" t="n">
        <f aca="false">IF(Search!$D$5="",0,IF(AND(OR(Search!$N$5="",ISNUMBER(SEARCH(Search!$N$5,J1192))),OR(Search!$N$6="",ISNUMBER(SEARCH(Search!$N$6,J1192))),OR(Search!$N$7="",ISNUMBER(SEARCH(Search!$N$7,J1192))),OR(Search!$N$8="",ISNUMBER(SEARCH(Search!$N$8,J1192)))),1,0))</f>
        <v>0</v>
      </c>
      <c r="L1192" s="1" t="n">
        <f aca="false">L1191+K1192</f>
        <v>0</v>
      </c>
    </row>
    <row r="1193" customFormat="false" ht="15" hidden="false" customHeight="true" outlineLevel="0" collapsed="false">
      <c r="A1193" s="1" t="s">
        <v>303</v>
      </c>
      <c r="B1193" s="1" t="s">
        <v>1221</v>
      </c>
      <c r="C1193" s="1" t="n">
        <v>10</v>
      </c>
      <c r="E1193" s="1" t="s">
        <v>3401</v>
      </c>
      <c r="F1193" s="1" t="s">
        <v>3402</v>
      </c>
      <c r="G1193" s="1" t="s">
        <v>1045</v>
      </c>
      <c r="H1193" s="1" t="s">
        <v>3403</v>
      </c>
      <c r="I1193" s="1" t="s">
        <v>3404</v>
      </c>
      <c r="J1193" s="1" t="s">
        <v>3405</v>
      </c>
      <c r="K1193" s="1" t="n">
        <f aca="false">IF(Search!$D$5="",0,IF(AND(OR(Search!$N$5="",ISNUMBER(SEARCH(Search!$N$5,J1193))),OR(Search!$N$6="",ISNUMBER(SEARCH(Search!$N$6,J1193))),OR(Search!$N$7="",ISNUMBER(SEARCH(Search!$N$7,J1193))),OR(Search!$N$8="",ISNUMBER(SEARCH(Search!$N$8,J1193)))),1,0))</f>
        <v>0</v>
      </c>
      <c r="L1193" s="1" t="n">
        <f aca="false">L1192+K1193</f>
        <v>0</v>
      </c>
    </row>
    <row r="1194" customFormat="false" ht="15" hidden="false" customHeight="true" outlineLevel="0" collapsed="false">
      <c r="A1194" s="1" t="s">
        <v>303</v>
      </c>
      <c r="B1194" s="1" t="s">
        <v>1221</v>
      </c>
      <c r="C1194" s="1" t="n">
        <v>11</v>
      </c>
      <c r="E1194" s="1" t="s">
        <v>2168</v>
      </c>
      <c r="F1194" s="1" t="s">
        <v>627</v>
      </c>
      <c r="G1194" s="1" t="s">
        <v>2838</v>
      </c>
      <c r="H1194" s="1" t="s">
        <v>3406</v>
      </c>
      <c r="I1194" s="1" t="s">
        <v>3407</v>
      </c>
      <c r="J1194" s="1" t="s">
        <v>3408</v>
      </c>
      <c r="K1194" s="1" t="n">
        <f aca="false">IF(Search!$D$5="",0,IF(AND(OR(Search!$N$5="",ISNUMBER(SEARCH(Search!$N$5,J1194))),OR(Search!$N$6="",ISNUMBER(SEARCH(Search!$N$6,J1194))),OR(Search!$N$7="",ISNUMBER(SEARCH(Search!$N$7,J1194))),OR(Search!$N$8="",ISNUMBER(SEARCH(Search!$N$8,J1194)))),1,0))</f>
        <v>0</v>
      </c>
      <c r="L1194" s="1" t="n">
        <f aca="false">L1193+K1194</f>
        <v>0</v>
      </c>
    </row>
    <row r="1195" customFormat="false" ht="15" hidden="false" customHeight="true" outlineLevel="0" collapsed="false">
      <c r="A1195" s="1" t="s">
        <v>303</v>
      </c>
      <c r="B1195" s="1" t="s">
        <v>1221</v>
      </c>
      <c r="C1195" s="1" t="n">
        <v>12</v>
      </c>
      <c r="E1195" s="1" t="s">
        <v>2168</v>
      </c>
      <c r="F1195" s="1" t="s">
        <v>627</v>
      </c>
      <c r="G1195" s="1" t="s">
        <v>1862</v>
      </c>
      <c r="H1195" s="1" t="s">
        <v>3409</v>
      </c>
      <c r="I1195" s="1" t="s">
        <v>3410</v>
      </c>
      <c r="J1195" s="1" t="s">
        <v>3411</v>
      </c>
      <c r="K1195" s="1" t="n">
        <f aca="false">IF(Search!$D$5="",0,IF(AND(OR(Search!$N$5="",ISNUMBER(SEARCH(Search!$N$5,J1195))),OR(Search!$N$6="",ISNUMBER(SEARCH(Search!$N$6,J1195))),OR(Search!$N$7="",ISNUMBER(SEARCH(Search!$N$7,J1195))),OR(Search!$N$8="",ISNUMBER(SEARCH(Search!$N$8,J1195)))),1,0))</f>
        <v>0</v>
      </c>
      <c r="L1195" s="1" t="n">
        <f aca="false">L1194+K1195</f>
        <v>0</v>
      </c>
    </row>
    <row r="1196" customFormat="false" ht="15" hidden="false" customHeight="true" outlineLevel="0" collapsed="false">
      <c r="A1196" s="1" t="s">
        <v>303</v>
      </c>
      <c r="B1196" s="1" t="s">
        <v>1221</v>
      </c>
      <c r="C1196" s="1" t="n">
        <v>13</v>
      </c>
      <c r="E1196" s="1" t="s">
        <v>3412</v>
      </c>
      <c r="F1196" s="1" t="s">
        <v>3413</v>
      </c>
      <c r="G1196" s="1" t="s">
        <v>1045</v>
      </c>
      <c r="H1196" s="1" t="s">
        <v>3414</v>
      </c>
      <c r="I1196" s="1" t="s">
        <v>3415</v>
      </c>
      <c r="J1196" s="1" t="s">
        <v>3416</v>
      </c>
      <c r="K1196" s="1" t="n">
        <f aca="false">IF(Search!$D$5="",0,IF(AND(OR(Search!$N$5="",ISNUMBER(SEARCH(Search!$N$5,J1196))),OR(Search!$N$6="",ISNUMBER(SEARCH(Search!$N$6,J1196))),OR(Search!$N$7="",ISNUMBER(SEARCH(Search!$N$7,J1196))),OR(Search!$N$8="",ISNUMBER(SEARCH(Search!$N$8,J1196)))),1,0))</f>
        <v>0</v>
      </c>
      <c r="L1196" s="1" t="n">
        <f aca="false">L1195+K1196</f>
        <v>0</v>
      </c>
    </row>
    <row r="1197" customFormat="false" ht="15" hidden="false" customHeight="true" outlineLevel="0" collapsed="false">
      <c r="A1197" s="1" t="s">
        <v>303</v>
      </c>
      <c r="B1197" s="1" t="s">
        <v>1221</v>
      </c>
      <c r="C1197" s="1" t="n">
        <v>14</v>
      </c>
      <c r="E1197" s="1" t="s">
        <v>982</v>
      </c>
      <c r="F1197" s="1" t="s">
        <v>2081</v>
      </c>
      <c r="G1197" s="1" t="s">
        <v>2838</v>
      </c>
      <c r="H1197" s="1" t="s">
        <v>3417</v>
      </c>
      <c r="I1197" s="1" t="s">
        <v>3418</v>
      </c>
      <c r="J1197" s="1" t="s">
        <v>3419</v>
      </c>
      <c r="K1197" s="1" t="n">
        <f aca="false">IF(Search!$D$5="",0,IF(AND(OR(Search!$N$5="",ISNUMBER(SEARCH(Search!$N$5,J1197))),OR(Search!$N$6="",ISNUMBER(SEARCH(Search!$N$6,J1197))),OR(Search!$N$7="",ISNUMBER(SEARCH(Search!$N$7,J1197))),OR(Search!$N$8="",ISNUMBER(SEARCH(Search!$N$8,J1197)))),1,0))</f>
        <v>0</v>
      </c>
      <c r="L1197" s="1" t="n">
        <f aca="false">L1196+K1197</f>
        <v>0</v>
      </c>
    </row>
    <row r="1198" customFormat="false" ht="15" hidden="false" customHeight="true" outlineLevel="0" collapsed="false">
      <c r="A1198" s="1" t="s">
        <v>303</v>
      </c>
      <c r="B1198" s="1" t="s">
        <v>1221</v>
      </c>
      <c r="C1198" s="1" t="n">
        <v>15</v>
      </c>
      <c r="E1198" s="1" t="s">
        <v>982</v>
      </c>
      <c r="F1198" s="1" t="s">
        <v>2081</v>
      </c>
      <c r="G1198" s="1" t="s">
        <v>1862</v>
      </c>
      <c r="H1198" s="1" t="s">
        <v>3420</v>
      </c>
      <c r="I1198" s="1" t="s">
        <v>3421</v>
      </c>
      <c r="J1198" s="1" t="s">
        <v>3422</v>
      </c>
      <c r="K1198" s="1" t="n">
        <f aca="false">IF(Search!$D$5="",0,IF(AND(OR(Search!$N$5="",ISNUMBER(SEARCH(Search!$N$5,J1198))),OR(Search!$N$6="",ISNUMBER(SEARCH(Search!$N$6,J1198))),OR(Search!$N$7="",ISNUMBER(SEARCH(Search!$N$7,J1198))),OR(Search!$N$8="",ISNUMBER(SEARCH(Search!$N$8,J1198)))),1,0))</f>
        <v>0</v>
      </c>
      <c r="L1198" s="1" t="n">
        <f aca="false">L1197+K1198</f>
        <v>0</v>
      </c>
    </row>
    <row r="1199" customFormat="false" ht="15" hidden="false" customHeight="true" outlineLevel="0" collapsed="false">
      <c r="A1199" s="1" t="s">
        <v>303</v>
      </c>
      <c r="B1199" s="1" t="s">
        <v>1221</v>
      </c>
      <c r="C1199" s="1" t="n">
        <v>16</v>
      </c>
      <c r="E1199" s="1" t="s">
        <v>3423</v>
      </c>
      <c r="F1199" s="1" t="s">
        <v>3424</v>
      </c>
      <c r="G1199" s="1" t="s">
        <v>1045</v>
      </c>
      <c r="H1199" s="1" t="s">
        <v>3425</v>
      </c>
      <c r="I1199" s="1" t="s">
        <v>3426</v>
      </c>
      <c r="J1199" s="1" t="s">
        <v>3427</v>
      </c>
      <c r="K1199" s="1" t="n">
        <f aca="false">IF(Search!$D$5="",0,IF(AND(OR(Search!$N$5="",ISNUMBER(SEARCH(Search!$N$5,J1199))),OR(Search!$N$6="",ISNUMBER(SEARCH(Search!$N$6,J1199))),OR(Search!$N$7="",ISNUMBER(SEARCH(Search!$N$7,J1199))),OR(Search!$N$8="",ISNUMBER(SEARCH(Search!$N$8,J1199)))),1,0))</f>
        <v>0</v>
      </c>
      <c r="L1199" s="1" t="n">
        <f aca="false">L1198+K1199</f>
        <v>0</v>
      </c>
    </row>
    <row r="1200" customFormat="false" ht="15" hidden="false" customHeight="true" outlineLevel="0" collapsed="false">
      <c r="A1200" s="1" t="s">
        <v>303</v>
      </c>
      <c r="B1200" s="1" t="s">
        <v>1221</v>
      </c>
      <c r="C1200" s="1" t="n">
        <v>17</v>
      </c>
      <c r="E1200" s="1" t="s">
        <v>3161</v>
      </c>
      <c r="F1200" s="1" t="s">
        <v>627</v>
      </c>
      <c r="G1200" s="1" t="s">
        <v>2838</v>
      </c>
      <c r="H1200" s="1" t="s">
        <v>3428</v>
      </c>
      <c r="I1200" s="1" t="s">
        <v>3429</v>
      </c>
      <c r="J1200" s="1" t="s">
        <v>3430</v>
      </c>
      <c r="K1200" s="1" t="n">
        <f aca="false">IF(Search!$D$5="",0,IF(AND(OR(Search!$N$5="",ISNUMBER(SEARCH(Search!$N$5,J1200))),OR(Search!$N$6="",ISNUMBER(SEARCH(Search!$N$6,J1200))),OR(Search!$N$7="",ISNUMBER(SEARCH(Search!$N$7,J1200))),OR(Search!$N$8="",ISNUMBER(SEARCH(Search!$N$8,J1200)))),1,0))</f>
        <v>0</v>
      </c>
      <c r="L1200" s="1" t="n">
        <f aca="false">L1199+K1200</f>
        <v>0</v>
      </c>
    </row>
    <row r="1201" customFormat="false" ht="15" hidden="false" customHeight="true" outlineLevel="0" collapsed="false">
      <c r="A1201" s="1" t="s">
        <v>303</v>
      </c>
      <c r="B1201" s="1" t="s">
        <v>1221</v>
      </c>
      <c r="C1201" s="1" t="n">
        <v>18</v>
      </c>
      <c r="E1201" s="1" t="s">
        <v>3161</v>
      </c>
      <c r="F1201" s="1" t="s">
        <v>627</v>
      </c>
      <c r="G1201" s="1" t="s">
        <v>1862</v>
      </c>
      <c r="H1201" s="1" t="s">
        <v>3431</v>
      </c>
      <c r="I1201" s="1" t="s">
        <v>3432</v>
      </c>
      <c r="J1201" s="1" t="s">
        <v>3433</v>
      </c>
      <c r="K1201" s="1" t="n">
        <f aca="false">IF(Search!$D$5="",0,IF(AND(OR(Search!$N$5="",ISNUMBER(SEARCH(Search!$N$5,J1201))),OR(Search!$N$6="",ISNUMBER(SEARCH(Search!$N$6,J1201))),OR(Search!$N$7="",ISNUMBER(SEARCH(Search!$N$7,J1201))),OR(Search!$N$8="",ISNUMBER(SEARCH(Search!$N$8,J1201)))),1,0))</f>
        <v>0</v>
      </c>
      <c r="L1201" s="1" t="n">
        <f aca="false">L1200+K1201</f>
        <v>0</v>
      </c>
    </row>
    <row r="1202" customFormat="false" ht="15" hidden="false" customHeight="true" outlineLevel="0" collapsed="false">
      <c r="A1202" s="1" t="s">
        <v>303</v>
      </c>
      <c r="B1202" s="1" t="s">
        <v>1221</v>
      </c>
      <c r="C1202" s="1" t="n">
        <v>19</v>
      </c>
      <c r="E1202" s="1" t="s">
        <v>3434</v>
      </c>
      <c r="F1202" s="1" t="s">
        <v>3435</v>
      </c>
      <c r="G1202" s="1" t="s">
        <v>1045</v>
      </c>
      <c r="H1202" s="1" t="s">
        <v>3105</v>
      </c>
      <c r="I1202" s="1" t="s">
        <v>3106</v>
      </c>
      <c r="J1202" s="1" t="s">
        <v>3436</v>
      </c>
      <c r="K1202" s="1" t="n">
        <f aca="false">IF(Search!$D$5="",0,IF(AND(OR(Search!$N$5="",ISNUMBER(SEARCH(Search!$N$5,J1202))),OR(Search!$N$6="",ISNUMBER(SEARCH(Search!$N$6,J1202))),OR(Search!$N$7="",ISNUMBER(SEARCH(Search!$N$7,J1202))),OR(Search!$N$8="",ISNUMBER(SEARCH(Search!$N$8,J1202)))),1,0))</f>
        <v>0</v>
      </c>
      <c r="L1202" s="1" t="n">
        <f aca="false">L1201+K1202</f>
        <v>0</v>
      </c>
    </row>
    <row r="1203" customFormat="false" ht="15" hidden="false" customHeight="true" outlineLevel="0" collapsed="false">
      <c r="A1203" s="1" t="s">
        <v>303</v>
      </c>
      <c r="B1203" s="1" t="s">
        <v>1221</v>
      </c>
      <c r="C1203" s="1" t="n">
        <v>20</v>
      </c>
      <c r="E1203" s="1" t="s">
        <v>3161</v>
      </c>
      <c r="F1203" s="1" t="s">
        <v>580</v>
      </c>
      <c r="G1203" s="1" t="s">
        <v>2838</v>
      </c>
      <c r="H1203" s="1" t="s">
        <v>3437</v>
      </c>
      <c r="I1203" s="1" t="s">
        <v>1642</v>
      </c>
      <c r="J1203" s="1" t="s">
        <v>3438</v>
      </c>
      <c r="K1203" s="1" t="n">
        <f aca="false">IF(Search!$D$5="",0,IF(AND(OR(Search!$N$5="",ISNUMBER(SEARCH(Search!$N$5,J1203))),OR(Search!$N$6="",ISNUMBER(SEARCH(Search!$N$6,J1203))),OR(Search!$N$7="",ISNUMBER(SEARCH(Search!$N$7,J1203))),OR(Search!$N$8="",ISNUMBER(SEARCH(Search!$N$8,J1203)))),1,0))</f>
        <v>0</v>
      </c>
      <c r="L1203" s="1" t="n">
        <f aca="false">L1202+K1203</f>
        <v>0</v>
      </c>
    </row>
    <row r="1204" customFormat="false" ht="15" hidden="false" customHeight="true" outlineLevel="0" collapsed="false">
      <c r="A1204" s="1" t="s">
        <v>303</v>
      </c>
      <c r="B1204" s="1" t="s">
        <v>1221</v>
      </c>
      <c r="C1204" s="1" t="n">
        <v>21</v>
      </c>
      <c r="E1204" s="1" t="s">
        <v>3161</v>
      </c>
      <c r="F1204" s="1" t="s">
        <v>580</v>
      </c>
      <c r="G1204" s="1" t="s">
        <v>1862</v>
      </c>
      <c r="H1204" s="1" t="s">
        <v>1397</v>
      </c>
      <c r="I1204" s="1" t="s">
        <v>3439</v>
      </c>
      <c r="J1204" s="1" t="s">
        <v>3440</v>
      </c>
      <c r="K1204" s="1" t="n">
        <f aca="false">IF(Search!$D$5="",0,IF(AND(OR(Search!$N$5="",ISNUMBER(SEARCH(Search!$N$5,J1204))),OR(Search!$N$6="",ISNUMBER(SEARCH(Search!$N$6,J1204))),OR(Search!$N$7="",ISNUMBER(SEARCH(Search!$N$7,J1204))),OR(Search!$N$8="",ISNUMBER(SEARCH(Search!$N$8,J1204)))),1,0))</f>
        <v>0</v>
      </c>
      <c r="L1204" s="1" t="n">
        <f aca="false">L1203+K1204</f>
        <v>0</v>
      </c>
    </row>
    <row r="1205" customFormat="false" ht="15" hidden="false" customHeight="true" outlineLevel="0" collapsed="false">
      <c r="A1205" s="1" t="s">
        <v>303</v>
      </c>
      <c r="B1205" s="1" t="s">
        <v>1221</v>
      </c>
      <c r="C1205" s="1" t="n">
        <v>22</v>
      </c>
      <c r="E1205" s="1" t="s">
        <v>3441</v>
      </c>
      <c r="F1205" s="1" t="s">
        <v>3442</v>
      </c>
      <c r="G1205" s="1" t="s">
        <v>1045</v>
      </c>
      <c r="H1205" s="1" t="s">
        <v>3443</v>
      </c>
      <c r="I1205" s="1" t="s">
        <v>3444</v>
      </c>
      <c r="J1205" s="1" t="s">
        <v>3445</v>
      </c>
      <c r="K1205" s="1" t="n">
        <f aca="false">IF(Search!$D$5="",0,IF(AND(OR(Search!$N$5="",ISNUMBER(SEARCH(Search!$N$5,J1205))),OR(Search!$N$6="",ISNUMBER(SEARCH(Search!$N$6,J1205))),OR(Search!$N$7="",ISNUMBER(SEARCH(Search!$N$7,J1205))),OR(Search!$N$8="",ISNUMBER(SEARCH(Search!$N$8,J1205)))),1,0))</f>
        <v>0</v>
      </c>
      <c r="L1205" s="1" t="n">
        <f aca="false">L1204+K1205</f>
        <v>0</v>
      </c>
    </row>
    <row r="1206" customFormat="false" ht="15" hidden="false" customHeight="true" outlineLevel="0" collapsed="false">
      <c r="A1206" s="1" t="s">
        <v>303</v>
      </c>
      <c r="B1206" s="1" t="s">
        <v>1221</v>
      </c>
      <c r="C1206" s="1" t="n">
        <v>23</v>
      </c>
      <c r="E1206" s="1" t="s">
        <v>3161</v>
      </c>
      <c r="F1206" s="1" t="s">
        <v>2168</v>
      </c>
      <c r="G1206" s="1" t="s">
        <v>2838</v>
      </c>
      <c r="H1206" s="1" t="s">
        <v>1393</v>
      </c>
      <c r="I1206" s="1" t="s">
        <v>1394</v>
      </c>
      <c r="J1206" s="1" t="s">
        <v>3446</v>
      </c>
      <c r="K1206" s="1" t="n">
        <f aca="false">IF(Search!$D$5="",0,IF(AND(OR(Search!$N$5="",ISNUMBER(SEARCH(Search!$N$5,J1206))),OR(Search!$N$6="",ISNUMBER(SEARCH(Search!$N$6,J1206))),OR(Search!$N$7="",ISNUMBER(SEARCH(Search!$N$7,J1206))),OR(Search!$N$8="",ISNUMBER(SEARCH(Search!$N$8,J1206)))),1,0))</f>
        <v>0</v>
      </c>
      <c r="L1206" s="1" t="n">
        <f aca="false">L1205+K1206</f>
        <v>0</v>
      </c>
    </row>
    <row r="1207" customFormat="false" ht="15" hidden="false" customHeight="true" outlineLevel="0" collapsed="false">
      <c r="A1207" s="1" t="s">
        <v>303</v>
      </c>
      <c r="B1207" s="1" t="s">
        <v>1221</v>
      </c>
      <c r="C1207" s="1" t="n">
        <v>24</v>
      </c>
      <c r="E1207" s="1" t="s">
        <v>3161</v>
      </c>
      <c r="F1207" s="1" t="s">
        <v>2168</v>
      </c>
      <c r="G1207" s="1" t="s">
        <v>1862</v>
      </c>
      <c r="H1207" s="1" t="s">
        <v>3447</v>
      </c>
      <c r="I1207" s="1" t="s">
        <v>3448</v>
      </c>
      <c r="J1207" s="1" t="s">
        <v>3449</v>
      </c>
      <c r="K1207" s="1" t="n">
        <f aca="false">IF(Search!$D$5="",0,IF(AND(OR(Search!$N$5="",ISNUMBER(SEARCH(Search!$N$5,J1207))),OR(Search!$N$6="",ISNUMBER(SEARCH(Search!$N$6,J1207))),OR(Search!$N$7="",ISNUMBER(SEARCH(Search!$N$7,J1207))),OR(Search!$N$8="",ISNUMBER(SEARCH(Search!$N$8,J1207)))),1,0))</f>
        <v>0</v>
      </c>
      <c r="L1207" s="1" t="n">
        <f aca="false">L1206+K1207</f>
        <v>0</v>
      </c>
    </row>
    <row r="1208" customFormat="false" ht="15" hidden="false" customHeight="true" outlineLevel="0" collapsed="false">
      <c r="A1208" s="1" t="s">
        <v>303</v>
      </c>
      <c r="B1208" s="1" t="s">
        <v>1221</v>
      </c>
      <c r="C1208" s="1" t="n">
        <v>25</v>
      </c>
      <c r="E1208" s="1" t="s">
        <v>3450</v>
      </c>
      <c r="F1208" s="1" t="s">
        <v>3451</v>
      </c>
      <c r="G1208" s="1" t="s">
        <v>2838</v>
      </c>
      <c r="H1208" s="1" t="s">
        <v>1849</v>
      </c>
      <c r="I1208" s="1" t="s">
        <v>1687</v>
      </c>
      <c r="J1208" s="1" t="s">
        <v>3452</v>
      </c>
      <c r="K1208" s="1" t="n">
        <f aca="false">IF(Search!$D$5="",0,IF(AND(OR(Search!$N$5="",ISNUMBER(SEARCH(Search!$N$5,J1208))),OR(Search!$N$6="",ISNUMBER(SEARCH(Search!$N$6,J1208))),OR(Search!$N$7="",ISNUMBER(SEARCH(Search!$N$7,J1208))),OR(Search!$N$8="",ISNUMBER(SEARCH(Search!$N$8,J1208)))),1,0))</f>
        <v>0</v>
      </c>
      <c r="L1208" s="1" t="n">
        <f aca="false">L1207+K1208</f>
        <v>0</v>
      </c>
    </row>
    <row r="1209" customFormat="false" ht="15" hidden="false" customHeight="true" outlineLevel="0" collapsed="false">
      <c r="A1209" s="1" t="s">
        <v>303</v>
      </c>
      <c r="B1209" s="1" t="s">
        <v>1221</v>
      </c>
      <c r="C1209" s="1" t="n">
        <v>26</v>
      </c>
      <c r="E1209" s="1" t="s">
        <v>2699</v>
      </c>
      <c r="F1209" s="1" t="s">
        <v>2168</v>
      </c>
      <c r="G1209" s="1" t="s">
        <v>1862</v>
      </c>
      <c r="H1209" s="1" t="s">
        <v>1467</v>
      </c>
      <c r="I1209" s="1" t="s">
        <v>1468</v>
      </c>
      <c r="J1209" s="1" t="s">
        <v>3453</v>
      </c>
      <c r="K1209" s="1" t="n">
        <f aca="false">IF(Search!$D$5="",0,IF(AND(OR(Search!$N$5="",ISNUMBER(SEARCH(Search!$N$5,J1209))),OR(Search!$N$6="",ISNUMBER(SEARCH(Search!$N$6,J1209))),OR(Search!$N$7="",ISNUMBER(SEARCH(Search!$N$7,J1209))),OR(Search!$N$8="",ISNUMBER(SEARCH(Search!$N$8,J1209)))),1,0))</f>
        <v>0</v>
      </c>
      <c r="L1209" s="1" t="n">
        <f aca="false">L1208+K1209</f>
        <v>0</v>
      </c>
    </row>
    <row r="1210" customFormat="false" ht="15" hidden="false" customHeight="true" outlineLevel="0" collapsed="false">
      <c r="A1210" s="1" t="s">
        <v>303</v>
      </c>
      <c r="B1210" s="1" t="s">
        <v>1221</v>
      </c>
      <c r="C1210" s="1" t="n">
        <v>27</v>
      </c>
      <c r="E1210" s="1" t="s">
        <v>2699</v>
      </c>
      <c r="F1210" s="1" t="s">
        <v>2168</v>
      </c>
      <c r="G1210" s="1" t="s">
        <v>1409</v>
      </c>
      <c r="H1210" s="1" t="s">
        <v>3454</v>
      </c>
      <c r="I1210" s="1" t="s">
        <v>3455</v>
      </c>
      <c r="J1210" s="1" t="s">
        <v>3456</v>
      </c>
      <c r="K1210" s="1" t="n">
        <f aca="false">IF(Search!$D$5="",0,IF(AND(OR(Search!$N$5="",ISNUMBER(SEARCH(Search!$N$5,J1210))),OR(Search!$N$6="",ISNUMBER(SEARCH(Search!$N$6,J1210))),OR(Search!$N$7="",ISNUMBER(SEARCH(Search!$N$7,J1210))),OR(Search!$N$8="",ISNUMBER(SEARCH(Search!$N$8,J1210)))),1,0))</f>
        <v>0</v>
      </c>
      <c r="L1210" s="1" t="n">
        <f aca="false">L1209+K1210</f>
        <v>0</v>
      </c>
    </row>
    <row r="1211" customFormat="false" ht="15" hidden="false" customHeight="true" outlineLevel="0" collapsed="false">
      <c r="A1211" s="1" t="s">
        <v>303</v>
      </c>
      <c r="B1211" s="1" t="s">
        <v>1221</v>
      </c>
      <c r="C1211" s="1" t="n">
        <v>28</v>
      </c>
      <c r="E1211" s="1" t="s">
        <v>2699</v>
      </c>
      <c r="F1211" s="1" t="s">
        <v>2168</v>
      </c>
      <c r="G1211" s="1" t="s">
        <v>987</v>
      </c>
      <c r="H1211" s="1" t="s">
        <v>3457</v>
      </c>
      <c r="I1211" s="1" t="s">
        <v>3458</v>
      </c>
      <c r="J1211" s="1" t="s">
        <v>3459</v>
      </c>
      <c r="K1211" s="1" t="n">
        <f aca="false">IF(Search!$D$5="",0,IF(AND(OR(Search!$N$5="",ISNUMBER(SEARCH(Search!$N$5,J1211))),OR(Search!$N$6="",ISNUMBER(SEARCH(Search!$N$6,J1211))),OR(Search!$N$7="",ISNUMBER(SEARCH(Search!$N$7,J1211))),OR(Search!$N$8="",ISNUMBER(SEARCH(Search!$N$8,J1211)))),1,0))</f>
        <v>0</v>
      </c>
      <c r="L1211" s="1" t="n">
        <f aca="false">L1210+K1211</f>
        <v>0</v>
      </c>
    </row>
    <row r="1212" customFormat="false" ht="15" hidden="false" customHeight="true" outlineLevel="0" collapsed="false">
      <c r="A1212" s="1" t="s">
        <v>303</v>
      </c>
      <c r="B1212" s="1" t="s">
        <v>1221</v>
      </c>
      <c r="C1212" s="1" t="n">
        <v>29</v>
      </c>
      <c r="E1212" s="1" t="s">
        <v>2699</v>
      </c>
      <c r="F1212" s="1" t="s">
        <v>2168</v>
      </c>
      <c r="G1212" s="1" t="s">
        <v>2358</v>
      </c>
      <c r="H1212" s="1" t="s">
        <v>1898</v>
      </c>
      <c r="I1212" s="1" t="s">
        <v>1899</v>
      </c>
      <c r="J1212" s="1" t="s">
        <v>3460</v>
      </c>
      <c r="K1212" s="1" t="n">
        <f aca="false">IF(Search!$D$5="",0,IF(AND(OR(Search!$N$5="",ISNUMBER(SEARCH(Search!$N$5,J1212))),OR(Search!$N$6="",ISNUMBER(SEARCH(Search!$N$6,J1212))),OR(Search!$N$7="",ISNUMBER(SEARCH(Search!$N$7,J1212))),OR(Search!$N$8="",ISNUMBER(SEARCH(Search!$N$8,J1212)))),1,0))</f>
        <v>0</v>
      </c>
      <c r="L1212" s="1" t="n">
        <f aca="false">L1211+K1212</f>
        <v>0</v>
      </c>
    </row>
    <row r="1213" customFormat="false" ht="15" hidden="false" customHeight="true" outlineLevel="0" collapsed="false">
      <c r="A1213" s="1" t="s">
        <v>303</v>
      </c>
      <c r="B1213" s="1" t="s">
        <v>1221</v>
      </c>
      <c r="C1213" s="1" t="n">
        <v>30</v>
      </c>
      <c r="E1213" s="1" t="s">
        <v>3461</v>
      </c>
      <c r="F1213" s="1" t="s">
        <v>3462</v>
      </c>
      <c r="G1213" s="1" t="s">
        <v>1862</v>
      </c>
      <c r="H1213" s="1" t="s">
        <v>3463</v>
      </c>
      <c r="I1213" s="1" t="s">
        <v>3464</v>
      </c>
      <c r="J1213" s="1" t="s">
        <v>3465</v>
      </c>
      <c r="K1213" s="1" t="n">
        <f aca="false">IF(Search!$D$5="",0,IF(AND(OR(Search!$N$5="",ISNUMBER(SEARCH(Search!$N$5,J1213))),OR(Search!$N$6="",ISNUMBER(SEARCH(Search!$N$6,J1213))),OR(Search!$N$7="",ISNUMBER(SEARCH(Search!$N$7,J1213))),OR(Search!$N$8="",ISNUMBER(SEARCH(Search!$N$8,J1213)))),1,0))</f>
        <v>0</v>
      </c>
      <c r="L1213" s="1" t="n">
        <f aca="false">L1212+K1213</f>
        <v>0</v>
      </c>
    </row>
    <row r="1214" customFormat="false" ht="15" hidden="false" customHeight="true" outlineLevel="0" collapsed="false">
      <c r="A1214" s="1" t="s">
        <v>303</v>
      </c>
      <c r="B1214" s="1" t="s">
        <v>1221</v>
      </c>
      <c r="C1214" s="1" t="n">
        <v>31</v>
      </c>
      <c r="E1214" s="1" t="s">
        <v>2704</v>
      </c>
      <c r="F1214" s="1" t="s">
        <v>3161</v>
      </c>
      <c r="G1214" s="1" t="s">
        <v>2776</v>
      </c>
      <c r="H1214" s="1" t="s">
        <v>2363</v>
      </c>
      <c r="I1214" s="1" t="s">
        <v>2364</v>
      </c>
      <c r="J1214" s="1" t="s">
        <v>3466</v>
      </c>
      <c r="K1214" s="1" t="n">
        <f aca="false">IF(Search!$D$5="",0,IF(AND(OR(Search!$N$5="",ISNUMBER(SEARCH(Search!$N$5,J1214))),OR(Search!$N$6="",ISNUMBER(SEARCH(Search!$N$6,J1214))),OR(Search!$N$7="",ISNUMBER(SEARCH(Search!$N$7,J1214))),OR(Search!$N$8="",ISNUMBER(SEARCH(Search!$N$8,J1214)))),1,0))</f>
        <v>0</v>
      </c>
      <c r="L1214" s="1" t="n">
        <f aca="false">L1213+K1214</f>
        <v>0</v>
      </c>
    </row>
    <row r="1215" customFormat="false" ht="15" hidden="false" customHeight="true" outlineLevel="0" collapsed="false">
      <c r="A1215" s="1" t="s">
        <v>303</v>
      </c>
      <c r="B1215" s="1" t="s">
        <v>1221</v>
      </c>
      <c r="C1215" s="1" t="n">
        <v>32</v>
      </c>
      <c r="E1215" s="1" t="s">
        <v>2704</v>
      </c>
      <c r="F1215" s="1" t="s">
        <v>3161</v>
      </c>
      <c r="G1215" s="1" t="s">
        <v>1409</v>
      </c>
      <c r="H1215" s="1" t="s">
        <v>1890</v>
      </c>
      <c r="I1215" s="1" t="s">
        <v>1891</v>
      </c>
      <c r="J1215" s="1" t="s">
        <v>3467</v>
      </c>
      <c r="K1215" s="1" t="n">
        <f aca="false">IF(Search!$D$5="",0,IF(AND(OR(Search!$N$5="",ISNUMBER(SEARCH(Search!$N$5,J1215))),OR(Search!$N$6="",ISNUMBER(SEARCH(Search!$N$6,J1215))),OR(Search!$N$7="",ISNUMBER(SEARCH(Search!$N$7,J1215))),OR(Search!$N$8="",ISNUMBER(SEARCH(Search!$N$8,J1215)))),1,0))</f>
        <v>0</v>
      </c>
      <c r="L1215" s="1" t="n">
        <f aca="false">L1214+K1215</f>
        <v>0</v>
      </c>
    </row>
    <row r="1216" customFormat="false" ht="15" hidden="false" customHeight="true" outlineLevel="0" collapsed="false">
      <c r="A1216" s="1" t="s">
        <v>303</v>
      </c>
      <c r="B1216" s="1" t="s">
        <v>1221</v>
      </c>
      <c r="C1216" s="1" t="n">
        <v>33</v>
      </c>
      <c r="E1216" s="1" t="s">
        <v>2704</v>
      </c>
      <c r="F1216" s="1" t="s">
        <v>3161</v>
      </c>
      <c r="G1216" s="1" t="s">
        <v>987</v>
      </c>
      <c r="H1216" s="1" t="s">
        <v>3468</v>
      </c>
      <c r="I1216" s="1" t="s">
        <v>3469</v>
      </c>
      <c r="J1216" s="1" t="s">
        <v>3470</v>
      </c>
      <c r="K1216" s="1" t="n">
        <f aca="false">IF(Search!$D$5="",0,IF(AND(OR(Search!$N$5="",ISNUMBER(SEARCH(Search!$N$5,J1216))),OR(Search!$N$6="",ISNUMBER(SEARCH(Search!$N$6,J1216))),OR(Search!$N$7="",ISNUMBER(SEARCH(Search!$N$7,J1216))),OR(Search!$N$8="",ISNUMBER(SEARCH(Search!$N$8,J1216)))),1,0))</f>
        <v>0</v>
      </c>
      <c r="L1216" s="1" t="n">
        <f aca="false">L1215+K1216</f>
        <v>0</v>
      </c>
    </row>
    <row r="1217" customFormat="false" ht="15" hidden="false" customHeight="true" outlineLevel="0" collapsed="false">
      <c r="A1217" s="1" t="s">
        <v>303</v>
      </c>
      <c r="B1217" s="1" t="s">
        <v>1221</v>
      </c>
      <c r="C1217" s="1" t="n">
        <v>34</v>
      </c>
      <c r="E1217" s="1" t="s">
        <v>2704</v>
      </c>
      <c r="F1217" s="1" t="s">
        <v>3161</v>
      </c>
      <c r="G1217" s="1" t="s">
        <v>2358</v>
      </c>
      <c r="H1217" s="1" t="s">
        <v>3471</v>
      </c>
      <c r="I1217" s="1" t="s">
        <v>3472</v>
      </c>
      <c r="J1217" s="1" t="s">
        <v>3473</v>
      </c>
      <c r="K1217" s="1" t="n">
        <f aca="false">IF(Search!$D$5="",0,IF(AND(OR(Search!$N$5="",ISNUMBER(SEARCH(Search!$N$5,J1217))),OR(Search!$N$6="",ISNUMBER(SEARCH(Search!$N$6,J1217))),OR(Search!$N$7="",ISNUMBER(SEARCH(Search!$N$7,J1217))),OR(Search!$N$8="",ISNUMBER(SEARCH(Search!$N$8,J1217)))),1,0))</f>
        <v>0</v>
      </c>
      <c r="L1217" s="1" t="n">
        <f aca="false">L1216+K1217</f>
        <v>0</v>
      </c>
    </row>
    <row r="1218" customFormat="false" ht="15" hidden="false" customHeight="true" outlineLevel="0" collapsed="false">
      <c r="A1218" s="1" t="s">
        <v>303</v>
      </c>
      <c r="B1218" s="1" t="s">
        <v>1221</v>
      </c>
      <c r="C1218" s="1" t="n">
        <v>35</v>
      </c>
      <c r="E1218" s="1" t="s">
        <v>2704</v>
      </c>
      <c r="F1218" s="1" t="s">
        <v>3161</v>
      </c>
      <c r="G1218" s="1" t="s">
        <v>1830</v>
      </c>
      <c r="H1218" s="1" t="s">
        <v>3474</v>
      </c>
      <c r="I1218" s="1" t="s">
        <v>3475</v>
      </c>
      <c r="J1218" s="1" t="s">
        <v>3476</v>
      </c>
      <c r="K1218" s="1" t="n">
        <f aca="false">IF(Search!$D$5="",0,IF(AND(OR(Search!$N$5="",ISNUMBER(SEARCH(Search!$N$5,J1218))),OR(Search!$N$6="",ISNUMBER(SEARCH(Search!$N$6,J1218))),OR(Search!$N$7="",ISNUMBER(SEARCH(Search!$N$7,J1218))),OR(Search!$N$8="",ISNUMBER(SEARCH(Search!$N$8,J1218)))),1,0))</f>
        <v>0</v>
      </c>
      <c r="L1218" s="1" t="n">
        <f aca="false">L1217+K1218</f>
        <v>0</v>
      </c>
    </row>
    <row r="1219" customFormat="false" ht="15" hidden="false" customHeight="true" outlineLevel="0" collapsed="false">
      <c r="A1219" s="1" t="s">
        <v>303</v>
      </c>
      <c r="B1219" s="1" t="s">
        <v>1221</v>
      </c>
      <c r="C1219" s="1" t="n">
        <v>36</v>
      </c>
      <c r="E1219" s="1" t="s">
        <v>3477</v>
      </c>
      <c r="F1219" s="1" t="s">
        <v>3478</v>
      </c>
      <c r="G1219" s="1" t="s">
        <v>1862</v>
      </c>
      <c r="H1219" s="1" t="s">
        <v>3479</v>
      </c>
      <c r="I1219" s="1" t="s">
        <v>3480</v>
      </c>
      <c r="J1219" s="1" t="s">
        <v>3481</v>
      </c>
      <c r="K1219" s="1" t="n">
        <f aca="false">IF(Search!$D$5="",0,IF(AND(OR(Search!$N$5="",ISNUMBER(SEARCH(Search!$N$5,J1219))),OR(Search!$N$6="",ISNUMBER(SEARCH(Search!$N$6,J1219))),OR(Search!$N$7="",ISNUMBER(SEARCH(Search!$N$7,J1219))),OR(Search!$N$8="",ISNUMBER(SEARCH(Search!$N$8,J1219)))),1,0))</f>
        <v>0</v>
      </c>
      <c r="L1219" s="1" t="n">
        <f aca="false">L1218+K1219</f>
        <v>0</v>
      </c>
    </row>
    <row r="1220" customFormat="false" ht="15" hidden="false" customHeight="true" outlineLevel="0" collapsed="false">
      <c r="A1220" s="1" t="s">
        <v>303</v>
      </c>
      <c r="B1220" s="1" t="s">
        <v>1221</v>
      </c>
      <c r="C1220" s="1" t="n">
        <v>37</v>
      </c>
      <c r="E1220" s="1" t="s">
        <v>3241</v>
      </c>
      <c r="F1220" s="1" t="s">
        <v>2168</v>
      </c>
      <c r="G1220" s="1" t="s">
        <v>2776</v>
      </c>
      <c r="H1220" s="1" t="s">
        <v>2682</v>
      </c>
      <c r="I1220" s="1" t="s">
        <v>3200</v>
      </c>
      <c r="J1220" s="1" t="s">
        <v>3482</v>
      </c>
      <c r="K1220" s="1" t="n">
        <f aca="false">IF(Search!$D$5="",0,IF(AND(OR(Search!$N$5="",ISNUMBER(SEARCH(Search!$N$5,J1220))),OR(Search!$N$6="",ISNUMBER(SEARCH(Search!$N$6,J1220))),OR(Search!$N$7="",ISNUMBER(SEARCH(Search!$N$7,J1220))),OR(Search!$N$8="",ISNUMBER(SEARCH(Search!$N$8,J1220)))),1,0))</f>
        <v>0</v>
      </c>
      <c r="L1220" s="1" t="n">
        <f aca="false">L1219+K1220</f>
        <v>0</v>
      </c>
    </row>
    <row r="1221" customFormat="false" ht="15" hidden="false" customHeight="true" outlineLevel="0" collapsed="false">
      <c r="A1221" s="1" t="s">
        <v>303</v>
      </c>
      <c r="B1221" s="1" t="s">
        <v>1221</v>
      </c>
      <c r="C1221" s="1" t="n">
        <v>38</v>
      </c>
      <c r="E1221" s="1" t="s">
        <v>3483</v>
      </c>
      <c r="F1221" s="1" t="s">
        <v>3484</v>
      </c>
      <c r="G1221" s="1" t="s">
        <v>1409</v>
      </c>
      <c r="H1221" s="1" t="s">
        <v>3485</v>
      </c>
      <c r="I1221" s="1" t="s">
        <v>3486</v>
      </c>
      <c r="J1221" s="1" t="s">
        <v>3487</v>
      </c>
      <c r="K1221" s="1" t="n">
        <f aca="false">IF(Search!$D$5="",0,IF(AND(OR(Search!$N$5="",ISNUMBER(SEARCH(Search!$N$5,J1221))),OR(Search!$N$6="",ISNUMBER(SEARCH(Search!$N$6,J1221))),OR(Search!$N$7="",ISNUMBER(SEARCH(Search!$N$7,J1221))),OR(Search!$N$8="",ISNUMBER(SEARCH(Search!$N$8,J1221)))),1,0))</f>
        <v>0</v>
      </c>
      <c r="L1221" s="1" t="n">
        <f aca="false">L1220+K1221</f>
        <v>0</v>
      </c>
    </row>
    <row r="1222" customFormat="false" ht="15" hidden="false" customHeight="true" outlineLevel="0" collapsed="false">
      <c r="A1222" s="1" t="s">
        <v>303</v>
      </c>
      <c r="B1222" s="1" t="s">
        <v>1221</v>
      </c>
      <c r="C1222" s="1" t="n">
        <v>39</v>
      </c>
      <c r="E1222" s="1" t="s">
        <v>3241</v>
      </c>
      <c r="F1222" s="1" t="s">
        <v>3161</v>
      </c>
      <c r="G1222" s="1" t="s">
        <v>987</v>
      </c>
      <c r="H1222" s="1" t="s">
        <v>3205</v>
      </c>
      <c r="I1222" s="1" t="s">
        <v>3206</v>
      </c>
      <c r="J1222" s="1" t="s">
        <v>3488</v>
      </c>
      <c r="K1222" s="1" t="n">
        <f aca="false">IF(Search!$D$5="",0,IF(AND(OR(Search!$N$5="",ISNUMBER(SEARCH(Search!$N$5,J1222))),OR(Search!$N$6="",ISNUMBER(SEARCH(Search!$N$6,J1222))),OR(Search!$N$7="",ISNUMBER(SEARCH(Search!$N$7,J1222))),OR(Search!$N$8="",ISNUMBER(SEARCH(Search!$N$8,J1222)))),1,0))</f>
        <v>0</v>
      </c>
      <c r="L1222" s="1" t="n">
        <f aca="false">L1221+K1222</f>
        <v>0</v>
      </c>
    </row>
    <row r="1223" customFormat="false" ht="15" hidden="false" customHeight="true" outlineLevel="0" collapsed="false">
      <c r="A1223" s="1" t="s">
        <v>303</v>
      </c>
      <c r="B1223" s="1" t="s">
        <v>1221</v>
      </c>
      <c r="C1223" s="1" t="n">
        <v>40</v>
      </c>
      <c r="E1223" s="1" t="s">
        <v>3241</v>
      </c>
      <c r="F1223" s="1" t="s">
        <v>3161</v>
      </c>
      <c r="G1223" s="1" t="s">
        <v>1830</v>
      </c>
      <c r="H1223" s="1" t="s">
        <v>3209</v>
      </c>
      <c r="I1223" s="1" t="s">
        <v>3210</v>
      </c>
      <c r="J1223" s="1" t="s">
        <v>3489</v>
      </c>
      <c r="K1223" s="1" t="n">
        <f aca="false">IF(Search!$D$5="",0,IF(AND(OR(Search!$N$5="",ISNUMBER(SEARCH(Search!$N$5,J1223))),OR(Search!$N$6="",ISNUMBER(SEARCH(Search!$N$6,J1223))),OR(Search!$N$7="",ISNUMBER(SEARCH(Search!$N$7,J1223))),OR(Search!$N$8="",ISNUMBER(SEARCH(Search!$N$8,J1223)))),1,0))</f>
        <v>0</v>
      </c>
      <c r="L1223" s="1" t="n">
        <f aca="false">L1222+K1223</f>
        <v>0</v>
      </c>
    </row>
    <row r="1224" customFormat="false" ht="15" hidden="false" customHeight="true" outlineLevel="0" collapsed="false">
      <c r="A1224" s="1" t="s">
        <v>303</v>
      </c>
      <c r="B1224" s="1" t="s">
        <v>1221</v>
      </c>
      <c r="C1224" s="1" t="n">
        <v>41</v>
      </c>
      <c r="E1224" s="1" t="s">
        <v>3241</v>
      </c>
      <c r="F1224" s="1" t="s">
        <v>3161</v>
      </c>
      <c r="G1224" s="1" t="s">
        <v>2377</v>
      </c>
      <c r="H1224" s="1" t="s">
        <v>3212</v>
      </c>
      <c r="I1224" s="1" t="s">
        <v>3213</v>
      </c>
      <c r="J1224" s="1" t="s">
        <v>3490</v>
      </c>
      <c r="K1224" s="1" t="n">
        <f aca="false">IF(Search!$D$5="",0,IF(AND(OR(Search!$N$5="",ISNUMBER(SEARCH(Search!$N$5,J1224))),OR(Search!$N$6="",ISNUMBER(SEARCH(Search!$N$6,J1224))),OR(Search!$N$7="",ISNUMBER(SEARCH(Search!$N$7,J1224))),OR(Search!$N$8="",ISNUMBER(SEARCH(Search!$N$8,J1224)))),1,0))</f>
        <v>0</v>
      </c>
      <c r="L1224" s="1" t="n">
        <f aca="false">L1223+K1224</f>
        <v>0</v>
      </c>
    </row>
    <row r="1225" customFormat="false" ht="15" hidden="false" customHeight="true" outlineLevel="0" collapsed="false">
      <c r="A1225" s="1" t="s">
        <v>303</v>
      </c>
      <c r="B1225" s="1" t="s">
        <v>1221</v>
      </c>
      <c r="C1225" s="1" t="n">
        <v>42</v>
      </c>
      <c r="E1225" s="1" t="s">
        <v>3483</v>
      </c>
      <c r="F1225" s="1" t="s">
        <v>3484</v>
      </c>
      <c r="G1225" s="1" t="s">
        <v>1862</v>
      </c>
      <c r="H1225" s="1" t="s">
        <v>3491</v>
      </c>
      <c r="I1225" s="1" t="s">
        <v>3492</v>
      </c>
      <c r="J1225" s="1" t="s">
        <v>3493</v>
      </c>
      <c r="K1225" s="1" t="n">
        <f aca="false">IF(Search!$D$5="",0,IF(AND(OR(Search!$N$5="",ISNUMBER(SEARCH(Search!$N$5,J1225))),OR(Search!$N$6="",ISNUMBER(SEARCH(Search!$N$6,J1225))),OR(Search!$N$7="",ISNUMBER(SEARCH(Search!$N$7,J1225))),OR(Search!$N$8="",ISNUMBER(SEARCH(Search!$N$8,J1225)))),1,0))</f>
        <v>0</v>
      </c>
      <c r="L1225" s="1" t="n">
        <f aca="false">L1224+K1225</f>
        <v>0</v>
      </c>
    </row>
    <row r="1226" customFormat="false" ht="15" hidden="false" customHeight="true" outlineLevel="0" collapsed="false">
      <c r="A1226" s="1" t="s">
        <v>303</v>
      </c>
      <c r="B1226" s="1" t="s">
        <v>1221</v>
      </c>
      <c r="C1226" s="1" t="n">
        <v>43</v>
      </c>
      <c r="E1226" s="1" t="s">
        <v>3241</v>
      </c>
      <c r="F1226" s="1" t="s">
        <v>3161</v>
      </c>
      <c r="G1226" s="1" t="s">
        <v>2776</v>
      </c>
      <c r="H1226" s="1" t="s">
        <v>1372</v>
      </c>
      <c r="I1226" s="1" t="s">
        <v>3494</v>
      </c>
      <c r="J1226" s="1" t="s">
        <v>3495</v>
      </c>
      <c r="K1226" s="1" t="n">
        <f aca="false">IF(Search!$D$5="",0,IF(AND(OR(Search!$N$5="",ISNUMBER(SEARCH(Search!$N$5,J1226))),OR(Search!$N$6="",ISNUMBER(SEARCH(Search!$N$6,J1226))),OR(Search!$N$7="",ISNUMBER(SEARCH(Search!$N$7,J1226))),OR(Search!$N$8="",ISNUMBER(SEARCH(Search!$N$8,J1226)))),1,0))</f>
        <v>0</v>
      </c>
      <c r="L1226" s="1" t="n">
        <f aca="false">L1225+K1226</f>
        <v>0</v>
      </c>
    </row>
    <row r="1227" customFormat="false" ht="15" hidden="false" customHeight="true" outlineLevel="0" collapsed="false">
      <c r="A1227" s="1" t="s">
        <v>303</v>
      </c>
      <c r="B1227" s="1" t="s">
        <v>1221</v>
      </c>
      <c r="C1227" s="1" t="n">
        <v>44</v>
      </c>
      <c r="E1227" s="1" t="s">
        <v>3241</v>
      </c>
      <c r="F1227" s="1" t="s">
        <v>3161</v>
      </c>
      <c r="G1227" s="1" t="s">
        <v>1409</v>
      </c>
      <c r="H1227" s="1" t="s">
        <v>3496</v>
      </c>
      <c r="I1227" s="1" t="s">
        <v>3497</v>
      </c>
      <c r="J1227" s="1" t="s">
        <v>3498</v>
      </c>
      <c r="K1227" s="1" t="n">
        <f aca="false">IF(Search!$D$5="",0,IF(AND(OR(Search!$N$5="",ISNUMBER(SEARCH(Search!$N$5,J1227))),OR(Search!$N$6="",ISNUMBER(SEARCH(Search!$N$6,J1227))),OR(Search!$N$7="",ISNUMBER(SEARCH(Search!$N$7,J1227))),OR(Search!$N$8="",ISNUMBER(SEARCH(Search!$N$8,J1227)))),1,0))</f>
        <v>0</v>
      </c>
      <c r="L1227" s="1" t="n">
        <f aca="false">L1226+K1227</f>
        <v>0</v>
      </c>
    </row>
    <row r="1228" customFormat="false" ht="15" hidden="false" customHeight="true" outlineLevel="0" collapsed="false">
      <c r="A1228" s="1" t="s">
        <v>303</v>
      </c>
      <c r="B1228" s="1" t="s">
        <v>1221</v>
      </c>
      <c r="C1228" s="1" t="n">
        <v>45</v>
      </c>
      <c r="E1228" s="1" t="s">
        <v>3241</v>
      </c>
      <c r="F1228" s="1" t="s">
        <v>3161</v>
      </c>
      <c r="G1228" s="1" t="s">
        <v>987</v>
      </c>
      <c r="H1228" s="1" t="s">
        <v>3499</v>
      </c>
      <c r="I1228" s="1" t="s">
        <v>3500</v>
      </c>
      <c r="J1228" s="1" t="s">
        <v>3501</v>
      </c>
      <c r="K1228" s="1" t="n">
        <f aca="false">IF(Search!$D$5="",0,IF(AND(OR(Search!$N$5="",ISNUMBER(SEARCH(Search!$N$5,J1228))),OR(Search!$N$6="",ISNUMBER(SEARCH(Search!$N$6,J1228))),OR(Search!$N$7="",ISNUMBER(SEARCH(Search!$N$7,J1228))),OR(Search!$N$8="",ISNUMBER(SEARCH(Search!$N$8,J1228)))),1,0))</f>
        <v>0</v>
      </c>
      <c r="L1228" s="1" t="n">
        <f aca="false">L1227+K1228</f>
        <v>0</v>
      </c>
    </row>
    <row r="1229" customFormat="false" ht="15" hidden="false" customHeight="true" outlineLevel="0" collapsed="false">
      <c r="A1229" s="1" t="s">
        <v>303</v>
      </c>
      <c r="B1229" s="1" t="s">
        <v>1221</v>
      </c>
      <c r="C1229" s="1" t="n">
        <v>46</v>
      </c>
      <c r="E1229" s="1" t="s">
        <v>3241</v>
      </c>
      <c r="F1229" s="1" t="s">
        <v>3161</v>
      </c>
      <c r="G1229" s="1" t="s">
        <v>2358</v>
      </c>
      <c r="H1229" s="1" t="s">
        <v>1905</v>
      </c>
      <c r="I1229" s="1" t="s">
        <v>1906</v>
      </c>
      <c r="J1229" s="1" t="s">
        <v>3502</v>
      </c>
      <c r="K1229" s="1" t="n">
        <f aca="false">IF(Search!$D$5="",0,IF(AND(OR(Search!$N$5="",ISNUMBER(SEARCH(Search!$N$5,J1229))),OR(Search!$N$6="",ISNUMBER(SEARCH(Search!$N$6,J1229))),OR(Search!$N$7="",ISNUMBER(SEARCH(Search!$N$7,J1229))),OR(Search!$N$8="",ISNUMBER(SEARCH(Search!$N$8,J1229)))),1,0))</f>
        <v>0</v>
      </c>
      <c r="L1229" s="1" t="n">
        <f aca="false">L1228+K1229</f>
        <v>0</v>
      </c>
    </row>
    <row r="1230" customFormat="false" ht="15" hidden="false" customHeight="true" outlineLevel="0" collapsed="false">
      <c r="A1230" s="1" t="s">
        <v>303</v>
      </c>
      <c r="B1230" s="1" t="s">
        <v>1221</v>
      </c>
      <c r="C1230" s="1" t="n">
        <v>47</v>
      </c>
      <c r="E1230" s="1" t="s">
        <v>3241</v>
      </c>
      <c r="F1230" s="1" t="s">
        <v>3161</v>
      </c>
      <c r="G1230" s="1" t="s">
        <v>1830</v>
      </c>
      <c r="H1230" s="1" t="s">
        <v>3503</v>
      </c>
      <c r="I1230" s="1" t="s">
        <v>3504</v>
      </c>
      <c r="J1230" s="1" t="s">
        <v>3505</v>
      </c>
      <c r="K1230" s="1" t="n">
        <f aca="false">IF(Search!$D$5="",0,IF(AND(OR(Search!$N$5="",ISNUMBER(SEARCH(Search!$N$5,J1230))),OR(Search!$N$6="",ISNUMBER(SEARCH(Search!$N$6,J1230))),OR(Search!$N$7="",ISNUMBER(SEARCH(Search!$N$7,J1230))),OR(Search!$N$8="",ISNUMBER(SEARCH(Search!$N$8,J1230)))),1,0))</f>
        <v>0</v>
      </c>
      <c r="L1230" s="1" t="n">
        <f aca="false">L1229+K1230</f>
        <v>0</v>
      </c>
    </row>
    <row r="1231" customFormat="false" ht="15" hidden="false" customHeight="true" outlineLevel="0" collapsed="false">
      <c r="A1231" s="1" t="s">
        <v>303</v>
      </c>
      <c r="B1231" s="1" t="s">
        <v>1221</v>
      </c>
      <c r="C1231" s="1" t="n">
        <v>48</v>
      </c>
      <c r="E1231" s="1" t="s">
        <v>3241</v>
      </c>
      <c r="F1231" s="1" t="s">
        <v>3161</v>
      </c>
      <c r="G1231" s="1" t="s">
        <v>2377</v>
      </c>
      <c r="H1231" s="1" t="s">
        <v>2449</v>
      </c>
      <c r="I1231" s="1" t="s">
        <v>2450</v>
      </c>
      <c r="J1231" s="1" t="s">
        <v>3506</v>
      </c>
      <c r="K1231" s="1" t="n">
        <f aca="false">IF(Search!$D$5="",0,IF(AND(OR(Search!$N$5="",ISNUMBER(SEARCH(Search!$N$5,J1231))),OR(Search!$N$6="",ISNUMBER(SEARCH(Search!$N$6,J1231))),OR(Search!$N$7="",ISNUMBER(SEARCH(Search!$N$7,J1231))),OR(Search!$N$8="",ISNUMBER(SEARCH(Search!$N$8,J1231)))),1,0))</f>
        <v>0</v>
      </c>
      <c r="L1231" s="1" t="n">
        <f aca="false">L1230+K1231</f>
        <v>0</v>
      </c>
    </row>
    <row r="1232" customFormat="false" ht="15" hidden="false" customHeight="true" outlineLevel="0" collapsed="false">
      <c r="A1232" s="1" t="s">
        <v>303</v>
      </c>
      <c r="B1232" s="1" t="s">
        <v>1221</v>
      </c>
      <c r="C1232" s="1" t="n">
        <v>49</v>
      </c>
      <c r="E1232" s="1" t="s">
        <v>2216</v>
      </c>
      <c r="F1232" s="1" t="s">
        <v>3507</v>
      </c>
      <c r="G1232" s="1" t="s">
        <v>2776</v>
      </c>
      <c r="H1232" s="1" t="s">
        <v>3508</v>
      </c>
      <c r="I1232" s="1" t="s">
        <v>3509</v>
      </c>
      <c r="J1232" s="1" t="s">
        <v>3510</v>
      </c>
      <c r="K1232" s="1" t="n">
        <f aca="false">IF(Search!$D$5="",0,IF(AND(OR(Search!$N$5="",ISNUMBER(SEARCH(Search!$N$5,J1232))),OR(Search!$N$6="",ISNUMBER(SEARCH(Search!$N$6,J1232))),OR(Search!$N$7="",ISNUMBER(SEARCH(Search!$N$7,J1232))),OR(Search!$N$8="",ISNUMBER(SEARCH(Search!$N$8,J1232)))),1,0))</f>
        <v>0</v>
      </c>
      <c r="L1232" s="1" t="n">
        <f aca="false">L1231+K1232</f>
        <v>0</v>
      </c>
    </row>
    <row r="1233" customFormat="false" ht="15" hidden="false" customHeight="true" outlineLevel="0" collapsed="false">
      <c r="A1233" s="1" t="s">
        <v>303</v>
      </c>
      <c r="B1233" s="1" t="s">
        <v>1221</v>
      </c>
      <c r="C1233" s="1" t="n">
        <v>50</v>
      </c>
      <c r="E1233" s="1" t="s">
        <v>3241</v>
      </c>
      <c r="F1233" s="1" t="s">
        <v>2699</v>
      </c>
      <c r="G1233" s="1" t="s">
        <v>1409</v>
      </c>
      <c r="H1233" s="1" t="s">
        <v>1487</v>
      </c>
      <c r="I1233" s="1" t="s">
        <v>1488</v>
      </c>
      <c r="J1233" s="1" t="s">
        <v>3511</v>
      </c>
      <c r="K1233" s="1" t="n">
        <f aca="false">IF(Search!$D$5="",0,IF(AND(OR(Search!$N$5="",ISNUMBER(SEARCH(Search!$N$5,J1233))),OR(Search!$N$6="",ISNUMBER(SEARCH(Search!$N$6,J1233))),OR(Search!$N$7="",ISNUMBER(SEARCH(Search!$N$7,J1233))),OR(Search!$N$8="",ISNUMBER(SEARCH(Search!$N$8,J1233)))),1,0))</f>
        <v>0</v>
      </c>
      <c r="L1233" s="1" t="n">
        <f aca="false">L1232+K1233</f>
        <v>0</v>
      </c>
    </row>
    <row r="1234" customFormat="false" ht="15" hidden="false" customHeight="true" outlineLevel="0" collapsed="false">
      <c r="A1234" s="1" t="s">
        <v>303</v>
      </c>
      <c r="B1234" s="1" t="s">
        <v>1221</v>
      </c>
      <c r="C1234" s="1" t="n">
        <v>51</v>
      </c>
      <c r="E1234" s="1" t="s">
        <v>3241</v>
      </c>
      <c r="F1234" s="1" t="s">
        <v>2699</v>
      </c>
      <c r="G1234" s="1" t="s">
        <v>987</v>
      </c>
      <c r="H1234" s="1" t="s">
        <v>1940</v>
      </c>
      <c r="I1234" s="1" t="s">
        <v>1941</v>
      </c>
      <c r="J1234" s="1" t="s">
        <v>3512</v>
      </c>
      <c r="K1234" s="1" t="n">
        <f aca="false">IF(Search!$D$5="",0,IF(AND(OR(Search!$N$5="",ISNUMBER(SEARCH(Search!$N$5,J1234))),OR(Search!$N$6="",ISNUMBER(SEARCH(Search!$N$6,J1234))),OR(Search!$N$7="",ISNUMBER(SEARCH(Search!$N$7,J1234))),OR(Search!$N$8="",ISNUMBER(SEARCH(Search!$N$8,J1234)))),1,0))</f>
        <v>0</v>
      </c>
      <c r="L1234" s="1" t="n">
        <f aca="false">L1233+K1234</f>
        <v>0</v>
      </c>
    </row>
    <row r="1235" customFormat="false" ht="15" hidden="false" customHeight="true" outlineLevel="0" collapsed="false">
      <c r="A1235" s="1" t="s">
        <v>303</v>
      </c>
      <c r="B1235" s="1" t="s">
        <v>1221</v>
      </c>
      <c r="C1235" s="1" t="n">
        <v>52</v>
      </c>
      <c r="E1235" s="1" t="s">
        <v>3241</v>
      </c>
      <c r="F1235" s="1" t="s">
        <v>2699</v>
      </c>
      <c r="G1235" s="1" t="s">
        <v>2358</v>
      </c>
      <c r="H1235" s="1" t="s">
        <v>3513</v>
      </c>
      <c r="I1235" s="1" t="s">
        <v>3514</v>
      </c>
      <c r="J1235" s="1" t="s">
        <v>3515</v>
      </c>
      <c r="K1235" s="1" t="n">
        <f aca="false">IF(Search!$D$5="",0,IF(AND(OR(Search!$N$5="",ISNUMBER(SEARCH(Search!$N$5,J1235))),OR(Search!$N$6="",ISNUMBER(SEARCH(Search!$N$6,J1235))),OR(Search!$N$7="",ISNUMBER(SEARCH(Search!$N$7,J1235))),OR(Search!$N$8="",ISNUMBER(SEARCH(Search!$N$8,J1235)))),1,0))</f>
        <v>0</v>
      </c>
      <c r="L1235" s="1" t="n">
        <f aca="false">L1234+K1235</f>
        <v>0</v>
      </c>
    </row>
    <row r="1236" customFormat="false" ht="15" hidden="false" customHeight="true" outlineLevel="0" collapsed="false">
      <c r="A1236" s="1" t="s">
        <v>303</v>
      </c>
      <c r="B1236" s="1" t="s">
        <v>1221</v>
      </c>
      <c r="C1236" s="1" t="n">
        <v>53</v>
      </c>
      <c r="E1236" s="1" t="s">
        <v>3241</v>
      </c>
      <c r="F1236" s="1" t="s">
        <v>2699</v>
      </c>
      <c r="G1236" s="1" t="s">
        <v>1830</v>
      </c>
      <c r="H1236" s="1" t="s">
        <v>3516</v>
      </c>
      <c r="I1236" s="1" t="s">
        <v>3517</v>
      </c>
      <c r="J1236" s="1" t="s">
        <v>3518</v>
      </c>
      <c r="K1236" s="1" t="n">
        <f aca="false">IF(Search!$D$5="",0,IF(AND(OR(Search!$N$5="",ISNUMBER(SEARCH(Search!$N$5,J1236))),OR(Search!$N$6="",ISNUMBER(SEARCH(Search!$N$6,J1236))),OR(Search!$N$7="",ISNUMBER(SEARCH(Search!$N$7,J1236))),OR(Search!$N$8="",ISNUMBER(SEARCH(Search!$N$8,J1236)))),1,0))</f>
        <v>0</v>
      </c>
      <c r="L1236" s="1" t="n">
        <f aca="false">L1235+K1236</f>
        <v>0</v>
      </c>
    </row>
    <row r="1237" customFormat="false" ht="15" hidden="false" customHeight="true" outlineLevel="0" collapsed="false">
      <c r="A1237" s="1" t="s">
        <v>303</v>
      </c>
      <c r="B1237" s="1" t="s">
        <v>1221</v>
      </c>
      <c r="C1237" s="1" t="n">
        <v>54</v>
      </c>
      <c r="E1237" s="1" t="s">
        <v>3241</v>
      </c>
      <c r="F1237" s="1" t="s">
        <v>2699</v>
      </c>
      <c r="G1237" s="1" t="s">
        <v>2377</v>
      </c>
      <c r="H1237" s="1" t="s">
        <v>3519</v>
      </c>
      <c r="I1237" s="1" t="s">
        <v>3520</v>
      </c>
      <c r="J1237" s="1" t="s">
        <v>3521</v>
      </c>
      <c r="K1237" s="1" t="n">
        <f aca="false">IF(Search!$D$5="",0,IF(AND(OR(Search!$N$5="",ISNUMBER(SEARCH(Search!$N$5,J1237))),OR(Search!$N$6="",ISNUMBER(SEARCH(Search!$N$6,J1237))),OR(Search!$N$7="",ISNUMBER(SEARCH(Search!$N$7,J1237))),OR(Search!$N$8="",ISNUMBER(SEARCH(Search!$N$8,J1237)))),1,0))</f>
        <v>0</v>
      </c>
      <c r="L1237" s="1" t="n">
        <f aca="false">L1236+K1237</f>
        <v>0</v>
      </c>
    </row>
    <row r="1238" customFormat="false" ht="15" hidden="false" customHeight="true" outlineLevel="0" collapsed="false">
      <c r="A1238" s="1" t="s">
        <v>303</v>
      </c>
      <c r="B1238" s="1" t="s">
        <v>1221</v>
      </c>
      <c r="C1238" s="1" t="n">
        <v>55</v>
      </c>
      <c r="E1238" s="1" t="s">
        <v>3241</v>
      </c>
      <c r="F1238" s="1" t="s">
        <v>2699</v>
      </c>
      <c r="G1238" s="1" t="s">
        <v>1834</v>
      </c>
      <c r="H1238" s="1" t="s">
        <v>3522</v>
      </c>
      <c r="I1238" s="1" t="s">
        <v>3523</v>
      </c>
      <c r="J1238" s="1" t="s">
        <v>3524</v>
      </c>
      <c r="K1238" s="1" t="n">
        <f aca="false">IF(Search!$D$5="",0,IF(AND(OR(Search!$N$5="",ISNUMBER(SEARCH(Search!$N$5,J1238))),OR(Search!$N$6="",ISNUMBER(SEARCH(Search!$N$6,J1238))),OR(Search!$N$7="",ISNUMBER(SEARCH(Search!$N$7,J1238))),OR(Search!$N$8="",ISNUMBER(SEARCH(Search!$N$8,J1238)))),1,0))</f>
        <v>0</v>
      </c>
      <c r="L1238" s="1" t="n">
        <f aca="false">L1237+K1238</f>
        <v>0</v>
      </c>
    </row>
    <row r="1239" customFormat="false" ht="15" hidden="false" customHeight="true" outlineLevel="0" collapsed="false">
      <c r="A1239" s="1" t="s">
        <v>303</v>
      </c>
      <c r="B1239" s="1" t="s">
        <v>1221</v>
      </c>
      <c r="C1239" s="1" t="n">
        <v>56</v>
      </c>
      <c r="E1239" s="1" t="s">
        <v>3241</v>
      </c>
      <c r="F1239" s="1" t="s">
        <v>2699</v>
      </c>
      <c r="G1239" s="1" t="s">
        <v>1838</v>
      </c>
      <c r="H1239" s="1" t="s">
        <v>3525</v>
      </c>
      <c r="I1239" s="1" t="s">
        <v>3526</v>
      </c>
      <c r="J1239" s="1" t="s">
        <v>3527</v>
      </c>
      <c r="K1239" s="1" t="n">
        <f aca="false">IF(Search!$D$5="",0,IF(AND(OR(Search!$N$5="",ISNUMBER(SEARCH(Search!$N$5,J1239))),OR(Search!$N$6="",ISNUMBER(SEARCH(Search!$N$6,J1239))),OR(Search!$N$7="",ISNUMBER(SEARCH(Search!$N$7,J1239))),OR(Search!$N$8="",ISNUMBER(SEARCH(Search!$N$8,J1239)))),1,0))</f>
        <v>0</v>
      </c>
      <c r="L1239" s="1" t="n">
        <f aca="false">L1238+K1239</f>
        <v>0</v>
      </c>
    </row>
    <row r="1240" customFormat="false" ht="15" hidden="false" customHeight="true" outlineLevel="0" collapsed="false">
      <c r="A1240" s="1" t="s">
        <v>303</v>
      </c>
      <c r="B1240" s="1" t="s">
        <v>1221</v>
      </c>
      <c r="C1240" s="1" t="n">
        <v>57</v>
      </c>
      <c r="E1240" s="1" t="s">
        <v>3528</v>
      </c>
      <c r="F1240" s="1" t="s">
        <v>3529</v>
      </c>
      <c r="G1240" s="1" t="s">
        <v>2776</v>
      </c>
      <c r="H1240" s="1" t="s">
        <v>3530</v>
      </c>
      <c r="I1240" s="1" t="s">
        <v>3531</v>
      </c>
      <c r="J1240" s="1" t="s">
        <v>3532</v>
      </c>
      <c r="K1240" s="1" t="n">
        <f aca="false">IF(Search!$D$5="",0,IF(AND(OR(Search!$N$5="",ISNUMBER(SEARCH(Search!$N$5,J1240))),OR(Search!$N$6="",ISNUMBER(SEARCH(Search!$N$6,J1240))),OR(Search!$N$7="",ISNUMBER(SEARCH(Search!$N$7,J1240))),OR(Search!$N$8="",ISNUMBER(SEARCH(Search!$N$8,J1240)))),1,0))</f>
        <v>0</v>
      </c>
      <c r="L1240" s="1" t="n">
        <f aca="false">L1239+K1240</f>
        <v>0</v>
      </c>
    </row>
    <row r="1241" customFormat="false" ht="15" hidden="false" customHeight="true" outlineLevel="0" collapsed="false">
      <c r="A1241" s="1" t="s">
        <v>303</v>
      </c>
      <c r="B1241" s="1" t="s">
        <v>1221</v>
      </c>
      <c r="C1241" s="1" t="n">
        <v>58</v>
      </c>
      <c r="E1241" s="1" t="s">
        <v>2717</v>
      </c>
      <c r="F1241" s="1" t="s">
        <v>2699</v>
      </c>
      <c r="G1241" s="1" t="s">
        <v>1409</v>
      </c>
      <c r="H1241" s="1" t="s">
        <v>3238</v>
      </c>
      <c r="I1241" s="1" t="s">
        <v>3239</v>
      </c>
      <c r="J1241" s="1" t="s">
        <v>3533</v>
      </c>
      <c r="K1241" s="1" t="n">
        <f aca="false">IF(Search!$D$5="",0,IF(AND(OR(Search!$N$5="",ISNUMBER(SEARCH(Search!$N$5,J1241))),OR(Search!$N$6="",ISNUMBER(SEARCH(Search!$N$6,J1241))),OR(Search!$N$7="",ISNUMBER(SEARCH(Search!$N$7,J1241))),OR(Search!$N$8="",ISNUMBER(SEARCH(Search!$N$8,J1241)))),1,0))</f>
        <v>0</v>
      </c>
      <c r="L1241" s="1" t="n">
        <f aca="false">L1240+K1241</f>
        <v>0</v>
      </c>
    </row>
    <row r="1242" customFormat="false" ht="15" hidden="false" customHeight="true" outlineLevel="0" collapsed="false">
      <c r="A1242" s="1" t="s">
        <v>303</v>
      </c>
      <c r="B1242" s="1" t="s">
        <v>1221</v>
      </c>
      <c r="C1242" s="1" t="n">
        <v>59</v>
      </c>
      <c r="E1242" s="1" t="s">
        <v>2717</v>
      </c>
      <c r="F1242" s="1" t="s">
        <v>2699</v>
      </c>
      <c r="G1242" s="1" t="s">
        <v>987</v>
      </c>
      <c r="H1242" s="1" t="s">
        <v>2740</v>
      </c>
      <c r="I1242" s="1" t="s">
        <v>2333</v>
      </c>
      <c r="J1242" s="1" t="s">
        <v>3534</v>
      </c>
      <c r="K1242" s="1" t="n">
        <f aca="false">IF(Search!$D$5="",0,IF(AND(OR(Search!$N$5="",ISNUMBER(SEARCH(Search!$N$5,J1242))),OR(Search!$N$6="",ISNUMBER(SEARCH(Search!$N$6,J1242))),OR(Search!$N$7="",ISNUMBER(SEARCH(Search!$N$7,J1242))),OR(Search!$N$8="",ISNUMBER(SEARCH(Search!$N$8,J1242)))),1,0))</f>
        <v>0</v>
      </c>
      <c r="L1242" s="1" t="n">
        <f aca="false">L1241+K1242</f>
        <v>0</v>
      </c>
    </row>
    <row r="1243" customFormat="false" ht="15" hidden="false" customHeight="true" outlineLevel="0" collapsed="false">
      <c r="A1243" s="1" t="s">
        <v>303</v>
      </c>
      <c r="B1243" s="1" t="s">
        <v>1221</v>
      </c>
      <c r="C1243" s="1" t="n">
        <v>60</v>
      </c>
      <c r="E1243" s="1" t="s">
        <v>2717</v>
      </c>
      <c r="F1243" s="1" t="s">
        <v>2699</v>
      </c>
      <c r="G1243" s="1" t="s">
        <v>2358</v>
      </c>
      <c r="H1243" s="1" t="s">
        <v>3243</v>
      </c>
      <c r="I1243" s="1" t="s">
        <v>3244</v>
      </c>
      <c r="J1243" s="1" t="s">
        <v>3535</v>
      </c>
      <c r="K1243" s="1" t="n">
        <f aca="false">IF(Search!$D$5="",0,IF(AND(OR(Search!$N$5="",ISNUMBER(SEARCH(Search!$N$5,J1243))),OR(Search!$N$6="",ISNUMBER(SEARCH(Search!$N$6,J1243))),OR(Search!$N$7="",ISNUMBER(SEARCH(Search!$N$7,J1243))),OR(Search!$N$8="",ISNUMBER(SEARCH(Search!$N$8,J1243)))),1,0))</f>
        <v>0</v>
      </c>
      <c r="L1243" s="1" t="n">
        <f aca="false">L1242+K1243</f>
        <v>0</v>
      </c>
    </row>
    <row r="1244" customFormat="false" ht="15" hidden="false" customHeight="true" outlineLevel="0" collapsed="false">
      <c r="A1244" s="1" t="s">
        <v>303</v>
      </c>
      <c r="B1244" s="1" t="s">
        <v>1221</v>
      </c>
      <c r="C1244" s="1" t="n">
        <v>61</v>
      </c>
      <c r="E1244" s="1" t="s">
        <v>2717</v>
      </c>
      <c r="F1244" s="1" t="s">
        <v>2699</v>
      </c>
      <c r="G1244" s="1" t="s">
        <v>1830</v>
      </c>
      <c r="H1244" s="1" t="s">
        <v>2916</v>
      </c>
      <c r="I1244" s="1" t="s">
        <v>3246</v>
      </c>
      <c r="J1244" s="1" t="s">
        <v>3536</v>
      </c>
      <c r="K1244" s="1" t="n">
        <f aca="false">IF(Search!$D$5="",0,IF(AND(OR(Search!$N$5="",ISNUMBER(SEARCH(Search!$N$5,J1244))),OR(Search!$N$6="",ISNUMBER(SEARCH(Search!$N$6,J1244))),OR(Search!$N$7="",ISNUMBER(SEARCH(Search!$N$7,J1244))),OR(Search!$N$8="",ISNUMBER(SEARCH(Search!$N$8,J1244)))),1,0))</f>
        <v>0</v>
      </c>
      <c r="L1244" s="1" t="n">
        <f aca="false">L1243+K1244</f>
        <v>0</v>
      </c>
    </row>
    <row r="1245" customFormat="false" ht="15" hidden="false" customHeight="true" outlineLevel="0" collapsed="false">
      <c r="A1245" s="1" t="s">
        <v>303</v>
      </c>
      <c r="B1245" s="1" t="s">
        <v>1221</v>
      </c>
      <c r="C1245" s="1" t="n">
        <v>62</v>
      </c>
      <c r="E1245" s="1" t="s">
        <v>2717</v>
      </c>
      <c r="F1245" s="1" t="s">
        <v>2699</v>
      </c>
      <c r="G1245" s="1" t="s">
        <v>2377</v>
      </c>
      <c r="H1245" s="1" t="s">
        <v>3248</v>
      </c>
      <c r="I1245" s="1" t="s">
        <v>3249</v>
      </c>
      <c r="J1245" s="1" t="s">
        <v>3537</v>
      </c>
      <c r="K1245" s="1" t="n">
        <f aca="false">IF(Search!$D$5="",0,IF(AND(OR(Search!$N$5="",ISNUMBER(SEARCH(Search!$N$5,J1245))),OR(Search!$N$6="",ISNUMBER(SEARCH(Search!$N$6,J1245))),OR(Search!$N$7="",ISNUMBER(SEARCH(Search!$N$7,J1245))),OR(Search!$N$8="",ISNUMBER(SEARCH(Search!$N$8,J1245)))),1,0))</f>
        <v>0</v>
      </c>
      <c r="L1245" s="1" t="n">
        <f aca="false">L1244+K1245</f>
        <v>0</v>
      </c>
    </row>
    <row r="1246" customFormat="false" ht="15" hidden="false" customHeight="true" outlineLevel="0" collapsed="false">
      <c r="A1246" s="1" t="s">
        <v>303</v>
      </c>
      <c r="B1246" s="1" t="s">
        <v>1221</v>
      </c>
      <c r="C1246" s="1" t="n">
        <v>63</v>
      </c>
      <c r="E1246" s="1" t="s">
        <v>2717</v>
      </c>
      <c r="F1246" s="1" t="s">
        <v>2699</v>
      </c>
      <c r="G1246" s="1" t="s">
        <v>1834</v>
      </c>
      <c r="H1246" s="1" t="s">
        <v>3251</v>
      </c>
      <c r="I1246" s="1" t="s">
        <v>3252</v>
      </c>
      <c r="J1246" s="1" t="s">
        <v>3538</v>
      </c>
      <c r="K1246" s="1" t="n">
        <f aca="false">IF(Search!$D$5="",0,IF(AND(OR(Search!$N$5="",ISNUMBER(SEARCH(Search!$N$5,J1246))),OR(Search!$N$6="",ISNUMBER(SEARCH(Search!$N$6,J1246))),OR(Search!$N$7="",ISNUMBER(SEARCH(Search!$N$7,J1246))),OR(Search!$N$8="",ISNUMBER(SEARCH(Search!$N$8,J1246)))),1,0))</f>
        <v>0</v>
      </c>
      <c r="L1246" s="1" t="n">
        <f aca="false">L1245+K1246</f>
        <v>0</v>
      </c>
    </row>
    <row r="1247" customFormat="false" ht="15" hidden="false" customHeight="true" outlineLevel="0" collapsed="false">
      <c r="A1247" s="1" t="s">
        <v>303</v>
      </c>
      <c r="B1247" s="1" t="s">
        <v>1221</v>
      </c>
      <c r="C1247" s="1" t="n">
        <v>64</v>
      </c>
      <c r="E1247" s="1" t="s">
        <v>2717</v>
      </c>
      <c r="F1247" s="1" t="s">
        <v>2699</v>
      </c>
      <c r="G1247" s="1" t="s">
        <v>1838</v>
      </c>
      <c r="H1247" s="1" t="s">
        <v>2238</v>
      </c>
      <c r="I1247" s="1" t="s">
        <v>2239</v>
      </c>
      <c r="J1247" s="1" t="s">
        <v>3539</v>
      </c>
      <c r="K1247" s="1" t="n">
        <f aca="false">IF(Search!$D$5="",0,IF(AND(OR(Search!$N$5="",ISNUMBER(SEARCH(Search!$N$5,J1247))),OR(Search!$N$6="",ISNUMBER(SEARCH(Search!$N$6,J1247))),OR(Search!$N$7="",ISNUMBER(SEARCH(Search!$N$7,J1247))),OR(Search!$N$8="",ISNUMBER(SEARCH(Search!$N$8,J1247)))),1,0))</f>
        <v>0</v>
      </c>
      <c r="L1247" s="1" t="n">
        <f aca="false">L1246+K1247</f>
        <v>0</v>
      </c>
    </row>
    <row r="1248" customFormat="false" ht="15" hidden="false" customHeight="true" outlineLevel="0" collapsed="false">
      <c r="A1248" s="1" t="s">
        <v>303</v>
      </c>
      <c r="B1248" s="1" t="s">
        <v>1221</v>
      </c>
      <c r="C1248" s="1" t="n">
        <v>65</v>
      </c>
      <c r="E1248" s="1" t="s">
        <v>2244</v>
      </c>
      <c r="F1248" s="1" t="s">
        <v>3540</v>
      </c>
      <c r="G1248" s="1" t="s">
        <v>987</v>
      </c>
      <c r="H1248" s="1" t="s">
        <v>3270</v>
      </c>
      <c r="I1248" s="1" t="s">
        <v>3271</v>
      </c>
      <c r="J1248" s="1" t="s">
        <v>3541</v>
      </c>
      <c r="K1248" s="1" t="n">
        <f aca="false">IF(Search!$D$5="",0,IF(AND(OR(Search!$N$5="",ISNUMBER(SEARCH(Search!$N$5,J1248))),OR(Search!$N$6="",ISNUMBER(SEARCH(Search!$N$6,J1248))),OR(Search!$N$7="",ISNUMBER(SEARCH(Search!$N$7,J1248))),OR(Search!$N$8="",ISNUMBER(SEARCH(Search!$N$8,J1248)))),1,0))</f>
        <v>0</v>
      </c>
      <c r="L1248" s="1" t="n">
        <f aca="false">L1247+K1248</f>
        <v>0</v>
      </c>
    </row>
    <row r="1249" customFormat="false" ht="15" hidden="false" customHeight="true" outlineLevel="0" collapsed="false">
      <c r="A1249" s="1" t="s">
        <v>303</v>
      </c>
      <c r="B1249" s="1" t="s">
        <v>1221</v>
      </c>
      <c r="C1249" s="1" t="n">
        <v>66</v>
      </c>
      <c r="E1249" s="1" t="s">
        <v>2717</v>
      </c>
      <c r="F1249" s="1" t="s">
        <v>3241</v>
      </c>
      <c r="G1249" s="1" t="s">
        <v>2358</v>
      </c>
      <c r="H1249" s="1" t="s">
        <v>3542</v>
      </c>
      <c r="I1249" s="1" t="s">
        <v>3543</v>
      </c>
      <c r="J1249" s="1" t="s">
        <v>3544</v>
      </c>
      <c r="K1249" s="1" t="n">
        <f aca="false">IF(Search!$D$5="",0,IF(AND(OR(Search!$N$5="",ISNUMBER(SEARCH(Search!$N$5,J1249))),OR(Search!$N$6="",ISNUMBER(SEARCH(Search!$N$6,J1249))),OR(Search!$N$7="",ISNUMBER(SEARCH(Search!$N$7,J1249))),OR(Search!$N$8="",ISNUMBER(SEARCH(Search!$N$8,J1249)))),1,0))</f>
        <v>0</v>
      </c>
      <c r="L1249" s="1" t="n">
        <f aca="false">L1248+K1249</f>
        <v>0</v>
      </c>
    </row>
    <row r="1250" customFormat="false" ht="15" hidden="false" customHeight="true" outlineLevel="0" collapsed="false">
      <c r="A1250" s="1" t="s">
        <v>303</v>
      </c>
      <c r="B1250" s="1" t="s">
        <v>1221</v>
      </c>
      <c r="C1250" s="1" t="n">
        <v>67</v>
      </c>
      <c r="E1250" s="1" t="s">
        <v>2717</v>
      </c>
      <c r="F1250" s="1" t="s">
        <v>3241</v>
      </c>
      <c r="G1250" s="1" t="s">
        <v>1830</v>
      </c>
      <c r="H1250" s="1" t="s">
        <v>1989</v>
      </c>
      <c r="I1250" s="1" t="s">
        <v>1990</v>
      </c>
      <c r="J1250" s="1" t="s">
        <v>3545</v>
      </c>
      <c r="K1250" s="1" t="n">
        <f aca="false">IF(Search!$D$5="",0,IF(AND(OR(Search!$N$5="",ISNUMBER(SEARCH(Search!$N$5,J1250))),OR(Search!$N$6="",ISNUMBER(SEARCH(Search!$N$6,J1250))),OR(Search!$N$7="",ISNUMBER(SEARCH(Search!$N$7,J1250))),OR(Search!$N$8="",ISNUMBER(SEARCH(Search!$N$8,J1250)))),1,0))</f>
        <v>0</v>
      </c>
      <c r="L1250" s="1" t="n">
        <f aca="false">L1249+K1250</f>
        <v>0</v>
      </c>
    </row>
    <row r="1251" customFormat="false" ht="15" hidden="false" customHeight="true" outlineLevel="0" collapsed="false">
      <c r="A1251" s="1" t="s">
        <v>303</v>
      </c>
      <c r="B1251" s="1" t="s">
        <v>1221</v>
      </c>
      <c r="C1251" s="1" t="n">
        <v>68</v>
      </c>
      <c r="E1251" s="1" t="s">
        <v>2717</v>
      </c>
      <c r="F1251" s="1" t="s">
        <v>3241</v>
      </c>
      <c r="G1251" s="1" t="s">
        <v>2377</v>
      </c>
      <c r="H1251" s="1" t="s">
        <v>1693</v>
      </c>
      <c r="I1251" s="1" t="s">
        <v>1694</v>
      </c>
      <c r="J1251" s="1" t="s">
        <v>3546</v>
      </c>
      <c r="K1251" s="1" t="n">
        <f aca="false">IF(Search!$D$5="",0,IF(AND(OR(Search!$N$5="",ISNUMBER(SEARCH(Search!$N$5,J1251))),OR(Search!$N$6="",ISNUMBER(SEARCH(Search!$N$6,J1251))),OR(Search!$N$7="",ISNUMBER(SEARCH(Search!$N$7,J1251))),OR(Search!$N$8="",ISNUMBER(SEARCH(Search!$N$8,J1251)))),1,0))</f>
        <v>0</v>
      </c>
      <c r="L1251" s="1" t="n">
        <f aca="false">L1250+K1251</f>
        <v>0</v>
      </c>
    </row>
    <row r="1252" customFormat="false" ht="15" hidden="false" customHeight="true" outlineLevel="0" collapsed="false">
      <c r="A1252" s="1" t="s">
        <v>303</v>
      </c>
      <c r="B1252" s="1" t="s">
        <v>1221</v>
      </c>
      <c r="C1252" s="1" t="n">
        <v>69</v>
      </c>
      <c r="E1252" s="1" t="s">
        <v>2717</v>
      </c>
      <c r="F1252" s="1" t="s">
        <v>3241</v>
      </c>
      <c r="G1252" s="1" t="s">
        <v>1834</v>
      </c>
      <c r="H1252" s="1" t="s">
        <v>3547</v>
      </c>
      <c r="I1252" s="1" t="s">
        <v>3241</v>
      </c>
      <c r="J1252" s="1" t="s">
        <v>3548</v>
      </c>
      <c r="K1252" s="1" t="n">
        <f aca="false">IF(Search!$D$5="",0,IF(AND(OR(Search!$N$5="",ISNUMBER(SEARCH(Search!$N$5,J1252))),OR(Search!$N$6="",ISNUMBER(SEARCH(Search!$N$6,J1252))),OR(Search!$N$7="",ISNUMBER(SEARCH(Search!$N$7,J1252))),OR(Search!$N$8="",ISNUMBER(SEARCH(Search!$N$8,J1252)))),1,0))</f>
        <v>0</v>
      </c>
      <c r="L1252" s="1" t="n">
        <f aca="false">L1251+K1252</f>
        <v>0</v>
      </c>
    </row>
    <row r="1253" customFormat="false" ht="15" hidden="false" customHeight="true" outlineLevel="0" collapsed="false">
      <c r="A1253" s="1" t="s">
        <v>303</v>
      </c>
      <c r="B1253" s="1" t="s">
        <v>1221</v>
      </c>
      <c r="C1253" s="1" t="n">
        <v>70</v>
      </c>
      <c r="E1253" s="1" t="s">
        <v>2717</v>
      </c>
      <c r="F1253" s="1" t="s">
        <v>3241</v>
      </c>
      <c r="G1253" s="1" t="s">
        <v>1838</v>
      </c>
      <c r="H1253" s="1" t="s">
        <v>2278</v>
      </c>
      <c r="I1253" s="1" t="s">
        <v>2279</v>
      </c>
      <c r="J1253" s="1" t="s">
        <v>3549</v>
      </c>
      <c r="K1253" s="1" t="n">
        <f aca="false">IF(Search!$D$5="",0,IF(AND(OR(Search!$N$5="",ISNUMBER(SEARCH(Search!$N$5,J1253))),OR(Search!$N$6="",ISNUMBER(SEARCH(Search!$N$6,J1253))),OR(Search!$N$7="",ISNUMBER(SEARCH(Search!$N$7,J1253))),OR(Search!$N$8="",ISNUMBER(SEARCH(Search!$N$8,J1253)))),1,0))</f>
        <v>0</v>
      </c>
      <c r="L1253" s="1" t="n">
        <f aca="false">L1252+K1253</f>
        <v>0</v>
      </c>
    </row>
    <row r="1254" customFormat="false" ht="15" hidden="false" customHeight="true" outlineLevel="0" collapsed="false">
      <c r="A1254" s="1" t="s">
        <v>303</v>
      </c>
      <c r="B1254" s="1" t="s">
        <v>1221</v>
      </c>
      <c r="C1254" s="1" t="n">
        <v>71</v>
      </c>
      <c r="E1254" s="1" t="s">
        <v>3550</v>
      </c>
      <c r="F1254" s="1" t="s">
        <v>3551</v>
      </c>
      <c r="G1254" s="1" t="s">
        <v>987</v>
      </c>
      <c r="H1254" s="1" t="s">
        <v>3273</v>
      </c>
      <c r="I1254" s="1" t="s">
        <v>3274</v>
      </c>
      <c r="J1254" s="1" t="s">
        <v>3552</v>
      </c>
      <c r="K1254" s="1" t="n">
        <f aca="false">IF(Search!$D$5="",0,IF(AND(OR(Search!$N$5="",ISNUMBER(SEARCH(Search!$N$5,J1254))),OR(Search!$N$6="",ISNUMBER(SEARCH(Search!$N$6,J1254))),OR(Search!$N$7="",ISNUMBER(SEARCH(Search!$N$7,J1254))),OR(Search!$N$8="",ISNUMBER(SEARCH(Search!$N$8,J1254)))),1,0))</f>
        <v>0</v>
      </c>
      <c r="L1254" s="1" t="n">
        <f aca="false">L1253+K1254</f>
        <v>0</v>
      </c>
    </row>
    <row r="1255" customFormat="false" ht="15" hidden="false" customHeight="true" outlineLevel="0" collapsed="false">
      <c r="A1255" s="1" t="s">
        <v>303</v>
      </c>
      <c r="B1255" s="1" t="s">
        <v>1221</v>
      </c>
      <c r="C1255" s="1" t="n">
        <v>72</v>
      </c>
      <c r="E1255" s="1" t="s">
        <v>749</v>
      </c>
      <c r="F1255" s="1" t="s">
        <v>2699</v>
      </c>
      <c r="G1255" s="1" t="s">
        <v>2358</v>
      </c>
      <c r="H1255" s="1" t="s">
        <v>2453</v>
      </c>
      <c r="I1255" s="1" t="s">
        <v>2454</v>
      </c>
      <c r="J1255" s="1" t="s">
        <v>3553</v>
      </c>
      <c r="K1255" s="1" t="n">
        <f aca="false">IF(Search!$D$5="",0,IF(AND(OR(Search!$N$5="",ISNUMBER(SEARCH(Search!$N$5,J1255))),OR(Search!$N$6="",ISNUMBER(SEARCH(Search!$N$6,J1255))),OR(Search!$N$7="",ISNUMBER(SEARCH(Search!$N$7,J1255))),OR(Search!$N$8="",ISNUMBER(SEARCH(Search!$N$8,J1255)))),1,0))</f>
        <v>0</v>
      </c>
      <c r="L1255" s="1" t="n">
        <f aca="false">L1254+K1255</f>
        <v>0</v>
      </c>
    </row>
    <row r="1256" customFormat="false" ht="15" hidden="false" customHeight="true" outlineLevel="0" collapsed="false">
      <c r="A1256" s="1" t="s">
        <v>303</v>
      </c>
      <c r="B1256" s="1" t="s">
        <v>1221</v>
      </c>
      <c r="C1256" s="1" t="n">
        <v>73</v>
      </c>
      <c r="E1256" s="1" t="s">
        <v>749</v>
      </c>
      <c r="F1256" s="1" t="s">
        <v>2699</v>
      </c>
      <c r="G1256" s="1" t="s">
        <v>1830</v>
      </c>
      <c r="H1256" s="1" t="s">
        <v>2456</v>
      </c>
      <c r="I1256" s="1" t="s">
        <v>2457</v>
      </c>
      <c r="J1256" s="1" t="s">
        <v>3554</v>
      </c>
      <c r="K1256" s="1" t="n">
        <f aca="false">IF(Search!$D$5="",0,IF(AND(OR(Search!$N$5="",ISNUMBER(SEARCH(Search!$N$5,J1256))),OR(Search!$N$6="",ISNUMBER(SEARCH(Search!$N$6,J1256))),OR(Search!$N$7="",ISNUMBER(SEARCH(Search!$N$7,J1256))),OR(Search!$N$8="",ISNUMBER(SEARCH(Search!$N$8,J1256)))),1,0))</f>
        <v>0</v>
      </c>
      <c r="L1256" s="1" t="n">
        <f aca="false">L1255+K1256</f>
        <v>0</v>
      </c>
    </row>
    <row r="1257" customFormat="false" ht="15" hidden="false" customHeight="true" outlineLevel="0" collapsed="false">
      <c r="A1257" s="1" t="s">
        <v>303</v>
      </c>
      <c r="B1257" s="1" t="s">
        <v>1221</v>
      </c>
      <c r="C1257" s="1" t="n">
        <v>74</v>
      </c>
      <c r="E1257" s="1" t="s">
        <v>749</v>
      </c>
      <c r="F1257" s="1" t="s">
        <v>2699</v>
      </c>
      <c r="G1257" s="1" t="s">
        <v>2377</v>
      </c>
      <c r="H1257" s="1" t="s">
        <v>2459</v>
      </c>
      <c r="I1257" s="1" t="s">
        <v>2460</v>
      </c>
      <c r="J1257" s="1" t="s">
        <v>3555</v>
      </c>
      <c r="K1257" s="1" t="n">
        <f aca="false">IF(Search!$D$5="",0,IF(AND(OR(Search!$N$5="",ISNUMBER(SEARCH(Search!$N$5,J1257))),OR(Search!$N$6="",ISNUMBER(SEARCH(Search!$N$6,J1257))),OR(Search!$N$7="",ISNUMBER(SEARCH(Search!$N$7,J1257))),OR(Search!$N$8="",ISNUMBER(SEARCH(Search!$N$8,J1257)))),1,0))</f>
        <v>0</v>
      </c>
      <c r="L1257" s="1" t="n">
        <f aca="false">L1256+K1257</f>
        <v>0</v>
      </c>
    </row>
    <row r="1258" customFormat="false" ht="15" hidden="false" customHeight="true" outlineLevel="0" collapsed="false">
      <c r="A1258" s="1" t="s">
        <v>303</v>
      </c>
      <c r="B1258" s="1" t="s">
        <v>1221</v>
      </c>
      <c r="C1258" s="1" t="n">
        <v>75</v>
      </c>
      <c r="E1258" s="1" t="s">
        <v>749</v>
      </c>
      <c r="F1258" s="1" t="s">
        <v>2699</v>
      </c>
      <c r="G1258" s="1" t="s">
        <v>1834</v>
      </c>
      <c r="H1258" s="1" t="s">
        <v>2241</v>
      </c>
      <c r="I1258" s="1" t="s">
        <v>2242</v>
      </c>
      <c r="J1258" s="1" t="s">
        <v>3556</v>
      </c>
      <c r="K1258" s="1" t="n">
        <f aca="false">IF(Search!$D$5="",0,IF(AND(OR(Search!$N$5="",ISNUMBER(SEARCH(Search!$N$5,J1258))),OR(Search!$N$6="",ISNUMBER(SEARCH(Search!$N$6,J1258))),OR(Search!$N$7="",ISNUMBER(SEARCH(Search!$N$7,J1258))),OR(Search!$N$8="",ISNUMBER(SEARCH(Search!$N$8,J1258)))),1,0))</f>
        <v>0</v>
      </c>
      <c r="L1258" s="1" t="n">
        <f aca="false">L1257+K1258</f>
        <v>0</v>
      </c>
    </row>
    <row r="1259" customFormat="false" ht="15" hidden="false" customHeight="true" outlineLevel="0" collapsed="false">
      <c r="A1259" s="1" t="s">
        <v>303</v>
      </c>
      <c r="B1259" s="1" t="s">
        <v>1221</v>
      </c>
      <c r="C1259" s="1" t="n">
        <v>76</v>
      </c>
      <c r="E1259" s="1" t="s">
        <v>749</v>
      </c>
      <c r="F1259" s="1" t="s">
        <v>2699</v>
      </c>
      <c r="G1259" s="1" t="s">
        <v>1838</v>
      </c>
      <c r="H1259" s="1" t="s">
        <v>588</v>
      </c>
      <c r="I1259" s="1" t="s">
        <v>2050</v>
      </c>
      <c r="J1259" s="1" t="s">
        <v>3557</v>
      </c>
      <c r="K1259" s="1" t="n">
        <f aca="false">IF(Search!$D$5="",0,IF(AND(OR(Search!$N$5="",ISNUMBER(SEARCH(Search!$N$5,J1259))),OR(Search!$N$6="",ISNUMBER(SEARCH(Search!$N$6,J1259))),OR(Search!$N$7="",ISNUMBER(SEARCH(Search!$N$7,J1259))),OR(Search!$N$8="",ISNUMBER(SEARCH(Search!$N$8,J1259)))),1,0))</f>
        <v>0</v>
      </c>
      <c r="L1259" s="1" t="n">
        <f aca="false">L1258+K1259</f>
        <v>0</v>
      </c>
    </row>
    <row r="1260" customFormat="false" ht="15" hidden="false" customHeight="true" outlineLevel="0" collapsed="false">
      <c r="A1260" s="1" t="s">
        <v>303</v>
      </c>
      <c r="B1260" s="1" t="s">
        <v>1221</v>
      </c>
      <c r="C1260" s="1" t="n">
        <v>77</v>
      </c>
      <c r="E1260" s="1" t="s">
        <v>2267</v>
      </c>
      <c r="F1260" s="1" t="s">
        <v>3558</v>
      </c>
      <c r="G1260" s="1" t="s">
        <v>987</v>
      </c>
      <c r="H1260" s="1" t="s">
        <v>3273</v>
      </c>
      <c r="I1260" s="1" t="s">
        <v>3274</v>
      </c>
      <c r="J1260" s="1" t="s">
        <v>3559</v>
      </c>
      <c r="K1260" s="1" t="n">
        <f aca="false">IF(Search!$D$5="",0,IF(AND(OR(Search!$N$5="",ISNUMBER(SEARCH(Search!$N$5,J1260))),OR(Search!$N$6="",ISNUMBER(SEARCH(Search!$N$6,J1260))),OR(Search!$N$7="",ISNUMBER(SEARCH(Search!$N$7,J1260))),OR(Search!$N$8="",ISNUMBER(SEARCH(Search!$N$8,J1260)))),1,0))</f>
        <v>0</v>
      </c>
      <c r="L1260" s="1" t="n">
        <f aca="false">L1259+K1260</f>
        <v>0</v>
      </c>
    </row>
    <row r="1261" customFormat="false" ht="15" hidden="false" customHeight="true" outlineLevel="0" collapsed="false">
      <c r="A1261" s="1" t="s">
        <v>303</v>
      </c>
      <c r="B1261" s="1" t="s">
        <v>1221</v>
      </c>
      <c r="C1261" s="1" t="n">
        <v>78</v>
      </c>
      <c r="E1261" s="1" t="s">
        <v>749</v>
      </c>
      <c r="F1261" s="1" t="s">
        <v>3241</v>
      </c>
      <c r="G1261" s="1" t="s">
        <v>2358</v>
      </c>
      <c r="H1261" s="1" t="s">
        <v>2453</v>
      </c>
      <c r="I1261" s="1" t="s">
        <v>2454</v>
      </c>
      <c r="J1261" s="1" t="s">
        <v>3560</v>
      </c>
      <c r="K1261" s="1" t="n">
        <f aca="false">IF(Search!$D$5="",0,IF(AND(OR(Search!$N$5="",ISNUMBER(SEARCH(Search!$N$5,J1261))),OR(Search!$N$6="",ISNUMBER(SEARCH(Search!$N$6,J1261))),OR(Search!$N$7="",ISNUMBER(SEARCH(Search!$N$7,J1261))),OR(Search!$N$8="",ISNUMBER(SEARCH(Search!$N$8,J1261)))),1,0))</f>
        <v>0</v>
      </c>
      <c r="L1261" s="1" t="n">
        <f aca="false">L1260+K1261</f>
        <v>0</v>
      </c>
    </row>
    <row r="1262" customFormat="false" ht="15" hidden="false" customHeight="true" outlineLevel="0" collapsed="false">
      <c r="A1262" s="1" t="s">
        <v>303</v>
      </c>
      <c r="B1262" s="1" t="s">
        <v>1221</v>
      </c>
      <c r="C1262" s="1" t="n">
        <v>79</v>
      </c>
      <c r="E1262" s="1" t="s">
        <v>749</v>
      </c>
      <c r="F1262" s="1" t="s">
        <v>3241</v>
      </c>
      <c r="G1262" s="1" t="s">
        <v>1830</v>
      </c>
      <c r="H1262" s="1" t="s">
        <v>2456</v>
      </c>
      <c r="I1262" s="1" t="s">
        <v>2457</v>
      </c>
      <c r="J1262" s="1" t="s">
        <v>3561</v>
      </c>
      <c r="K1262" s="1" t="n">
        <f aca="false">IF(Search!$D$5="",0,IF(AND(OR(Search!$N$5="",ISNUMBER(SEARCH(Search!$N$5,J1262))),OR(Search!$N$6="",ISNUMBER(SEARCH(Search!$N$6,J1262))),OR(Search!$N$7="",ISNUMBER(SEARCH(Search!$N$7,J1262))),OR(Search!$N$8="",ISNUMBER(SEARCH(Search!$N$8,J1262)))),1,0))</f>
        <v>0</v>
      </c>
      <c r="L1262" s="1" t="n">
        <f aca="false">L1261+K1262</f>
        <v>0</v>
      </c>
    </row>
    <row r="1263" customFormat="false" ht="15" hidden="false" customHeight="true" outlineLevel="0" collapsed="false">
      <c r="A1263" s="1" t="s">
        <v>303</v>
      </c>
      <c r="B1263" s="1" t="s">
        <v>1221</v>
      </c>
      <c r="C1263" s="1" t="n">
        <v>80</v>
      </c>
      <c r="E1263" s="1" t="s">
        <v>749</v>
      </c>
      <c r="F1263" s="1" t="s">
        <v>3241</v>
      </c>
      <c r="G1263" s="1" t="s">
        <v>2377</v>
      </c>
      <c r="H1263" s="1" t="s">
        <v>2459</v>
      </c>
      <c r="I1263" s="1" t="s">
        <v>2460</v>
      </c>
      <c r="J1263" s="1" t="s">
        <v>3562</v>
      </c>
      <c r="K1263" s="1" t="n">
        <f aca="false">IF(Search!$D$5="",0,IF(AND(OR(Search!$N$5="",ISNUMBER(SEARCH(Search!$N$5,J1263))),OR(Search!$N$6="",ISNUMBER(SEARCH(Search!$N$6,J1263))),OR(Search!$N$7="",ISNUMBER(SEARCH(Search!$N$7,J1263))),OR(Search!$N$8="",ISNUMBER(SEARCH(Search!$N$8,J1263)))),1,0))</f>
        <v>0</v>
      </c>
      <c r="L1263" s="1" t="n">
        <f aca="false">L1262+K1263</f>
        <v>0</v>
      </c>
    </row>
    <row r="1264" customFormat="false" ht="15" hidden="false" customHeight="true" outlineLevel="0" collapsed="false">
      <c r="A1264" s="1" t="s">
        <v>303</v>
      </c>
      <c r="B1264" s="1" t="s">
        <v>1221</v>
      </c>
      <c r="C1264" s="1" t="n">
        <v>81</v>
      </c>
      <c r="E1264" s="1" t="s">
        <v>749</v>
      </c>
      <c r="F1264" s="1" t="s">
        <v>3241</v>
      </c>
      <c r="G1264" s="1" t="s">
        <v>1834</v>
      </c>
      <c r="H1264" s="1" t="s">
        <v>2890</v>
      </c>
      <c r="I1264" s="1" t="s">
        <v>3563</v>
      </c>
      <c r="J1264" s="1" t="s">
        <v>3564</v>
      </c>
      <c r="K1264" s="1" t="n">
        <f aca="false">IF(Search!$D$5="",0,IF(AND(OR(Search!$N$5="",ISNUMBER(SEARCH(Search!$N$5,J1264))),OR(Search!$N$6="",ISNUMBER(SEARCH(Search!$N$6,J1264))),OR(Search!$N$7="",ISNUMBER(SEARCH(Search!$N$7,J1264))),OR(Search!$N$8="",ISNUMBER(SEARCH(Search!$N$8,J1264)))),1,0))</f>
        <v>0</v>
      </c>
      <c r="L1264" s="1" t="n">
        <f aca="false">L1263+K1264</f>
        <v>0</v>
      </c>
    </row>
    <row r="1265" customFormat="false" ht="15" hidden="false" customHeight="true" outlineLevel="0" collapsed="false">
      <c r="A1265" s="1" t="s">
        <v>303</v>
      </c>
      <c r="B1265" s="1" t="s">
        <v>1221</v>
      </c>
      <c r="C1265" s="1" t="n">
        <v>82</v>
      </c>
      <c r="E1265" s="1" t="s">
        <v>749</v>
      </c>
      <c r="F1265" s="1" t="s">
        <v>3241</v>
      </c>
      <c r="G1265" s="1" t="s">
        <v>1838</v>
      </c>
      <c r="H1265" s="1" t="s">
        <v>588</v>
      </c>
      <c r="I1265" s="1" t="s">
        <v>2050</v>
      </c>
      <c r="J1265" s="1" t="s">
        <v>3565</v>
      </c>
      <c r="K1265" s="1" t="n">
        <f aca="false">IF(Search!$D$5="",0,IF(AND(OR(Search!$N$5="",ISNUMBER(SEARCH(Search!$N$5,J1265))),OR(Search!$N$6="",ISNUMBER(SEARCH(Search!$N$6,J1265))),OR(Search!$N$7="",ISNUMBER(SEARCH(Search!$N$7,J1265))),OR(Search!$N$8="",ISNUMBER(SEARCH(Search!$N$8,J1265)))),1,0))</f>
        <v>0</v>
      </c>
      <c r="L1265" s="1" t="n">
        <f aca="false">L1264+K1265</f>
        <v>0</v>
      </c>
    </row>
    <row r="1266" customFormat="false" ht="15" hidden="false" customHeight="true" outlineLevel="0" collapsed="false">
      <c r="A1266" s="1" t="s">
        <v>303</v>
      </c>
      <c r="B1266" s="1" t="s">
        <v>1221</v>
      </c>
      <c r="C1266" s="1" t="n">
        <v>83</v>
      </c>
      <c r="E1266" s="1" t="s">
        <v>3566</v>
      </c>
      <c r="F1266" s="1" t="s">
        <v>3567</v>
      </c>
      <c r="G1266" s="1" t="s">
        <v>987</v>
      </c>
      <c r="H1266" s="1" t="s">
        <v>2260</v>
      </c>
      <c r="I1266" s="1" t="s">
        <v>2261</v>
      </c>
      <c r="J1266" s="1" t="s">
        <v>3568</v>
      </c>
      <c r="K1266" s="1" t="n">
        <f aca="false">IF(Search!$D$5="",0,IF(AND(OR(Search!$N$5="",ISNUMBER(SEARCH(Search!$N$5,J1266))),OR(Search!$N$6="",ISNUMBER(SEARCH(Search!$N$6,J1266))),OR(Search!$N$7="",ISNUMBER(SEARCH(Search!$N$7,J1266))),OR(Search!$N$8="",ISNUMBER(SEARCH(Search!$N$8,J1266)))),1,0))</f>
        <v>0</v>
      </c>
      <c r="L1266" s="1" t="n">
        <f aca="false">L1265+K1266</f>
        <v>0</v>
      </c>
    </row>
    <row r="1267" customFormat="false" ht="15" hidden="false" customHeight="true" outlineLevel="0" collapsed="false">
      <c r="A1267" s="1" t="s">
        <v>303</v>
      </c>
      <c r="B1267" s="1" t="s">
        <v>1221</v>
      </c>
      <c r="C1267" s="1" t="n">
        <v>84</v>
      </c>
      <c r="E1267" s="1" t="s">
        <v>2723</v>
      </c>
      <c r="F1267" s="1" t="s">
        <v>2699</v>
      </c>
      <c r="G1267" s="1" t="s">
        <v>2358</v>
      </c>
      <c r="H1267" s="1" t="s">
        <v>2508</v>
      </c>
      <c r="I1267" s="1" t="s">
        <v>2509</v>
      </c>
      <c r="J1267" s="1" t="s">
        <v>3569</v>
      </c>
      <c r="K1267" s="1" t="n">
        <f aca="false">IF(Search!$D$5="",0,IF(AND(OR(Search!$N$5="",ISNUMBER(SEARCH(Search!$N$5,J1267))),OR(Search!$N$6="",ISNUMBER(SEARCH(Search!$N$6,J1267))),OR(Search!$N$7="",ISNUMBER(SEARCH(Search!$N$7,J1267))),OR(Search!$N$8="",ISNUMBER(SEARCH(Search!$N$8,J1267)))),1,0))</f>
        <v>0</v>
      </c>
      <c r="L1267" s="1" t="n">
        <f aca="false">L1266+K1267</f>
        <v>0</v>
      </c>
    </row>
    <row r="1268" customFormat="false" ht="15" hidden="false" customHeight="true" outlineLevel="0" collapsed="false">
      <c r="A1268" s="1" t="s">
        <v>303</v>
      </c>
      <c r="B1268" s="1" t="s">
        <v>1221</v>
      </c>
      <c r="C1268" s="1" t="n">
        <v>85</v>
      </c>
      <c r="E1268" s="1" t="s">
        <v>2723</v>
      </c>
      <c r="F1268" s="1" t="s">
        <v>2699</v>
      </c>
      <c r="G1268" s="1" t="s">
        <v>1830</v>
      </c>
      <c r="H1268" s="1" t="s">
        <v>2044</v>
      </c>
      <c r="I1268" s="1" t="s">
        <v>2045</v>
      </c>
      <c r="J1268" s="1" t="s">
        <v>3570</v>
      </c>
      <c r="K1268" s="1" t="n">
        <f aca="false">IF(Search!$D$5="",0,IF(AND(OR(Search!$N$5="",ISNUMBER(SEARCH(Search!$N$5,J1268))),OR(Search!$N$6="",ISNUMBER(SEARCH(Search!$N$6,J1268))),OR(Search!$N$7="",ISNUMBER(SEARCH(Search!$N$7,J1268))),OR(Search!$N$8="",ISNUMBER(SEARCH(Search!$N$8,J1268)))),1,0))</f>
        <v>0</v>
      </c>
      <c r="L1268" s="1" t="n">
        <f aca="false">L1267+K1268</f>
        <v>0</v>
      </c>
    </row>
    <row r="1269" customFormat="false" ht="15" hidden="false" customHeight="true" outlineLevel="0" collapsed="false">
      <c r="A1269" s="1" t="s">
        <v>303</v>
      </c>
      <c r="B1269" s="1" t="s">
        <v>1221</v>
      </c>
      <c r="C1269" s="1" t="n">
        <v>86</v>
      </c>
      <c r="E1269" s="1" t="s">
        <v>2723</v>
      </c>
      <c r="F1269" s="1" t="s">
        <v>2699</v>
      </c>
      <c r="G1269" s="1" t="s">
        <v>2377</v>
      </c>
      <c r="H1269" s="1" t="s">
        <v>1745</v>
      </c>
      <c r="I1269" s="1" t="s">
        <v>1746</v>
      </c>
      <c r="J1269" s="1" t="s">
        <v>3571</v>
      </c>
      <c r="K1269" s="1" t="n">
        <f aca="false">IF(Search!$D$5="",0,IF(AND(OR(Search!$N$5="",ISNUMBER(SEARCH(Search!$N$5,J1269))),OR(Search!$N$6="",ISNUMBER(SEARCH(Search!$N$6,J1269))),OR(Search!$N$7="",ISNUMBER(SEARCH(Search!$N$7,J1269))),OR(Search!$N$8="",ISNUMBER(SEARCH(Search!$N$8,J1269)))),1,0))</f>
        <v>0</v>
      </c>
      <c r="L1269" s="1" t="n">
        <f aca="false">L1268+K1269</f>
        <v>0</v>
      </c>
    </row>
    <row r="1270" customFormat="false" ht="15" hidden="false" customHeight="true" outlineLevel="0" collapsed="false">
      <c r="A1270" s="1" t="s">
        <v>303</v>
      </c>
      <c r="B1270" s="1" t="s">
        <v>1221</v>
      </c>
      <c r="C1270" s="1" t="n">
        <v>87</v>
      </c>
      <c r="E1270" s="1" t="s">
        <v>2723</v>
      </c>
      <c r="F1270" s="1" t="s">
        <v>2699</v>
      </c>
      <c r="G1270" s="1" t="s">
        <v>1834</v>
      </c>
      <c r="H1270" s="1" t="s">
        <v>3572</v>
      </c>
      <c r="I1270" s="1" t="s">
        <v>3573</v>
      </c>
      <c r="J1270" s="1" t="s">
        <v>3574</v>
      </c>
      <c r="K1270" s="1" t="n">
        <f aca="false">IF(Search!$D$5="",0,IF(AND(OR(Search!$N$5="",ISNUMBER(SEARCH(Search!$N$5,J1270))),OR(Search!$N$6="",ISNUMBER(SEARCH(Search!$N$6,J1270))),OR(Search!$N$7="",ISNUMBER(SEARCH(Search!$N$7,J1270))),OR(Search!$N$8="",ISNUMBER(SEARCH(Search!$N$8,J1270)))),1,0))</f>
        <v>0</v>
      </c>
      <c r="L1270" s="1" t="n">
        <f aca="false">L1269+K1270</f>
        <v>0</v>
      </c>
    </row>
    <row r="1271" customFormat="false" ht="15" hidden="false" customHeight="true" outlineLevel="0" collapsed="false">
      <c r="A1271" s="1" t="s">
        <v>303</v>
      </c>
      <c r="B1271" s="1" t="s">
        <v>1221</v>
      </c>
      <c r="C1271" s="1" t="n">
        <v>88</v>
      </c>
      <c r="E1271" s="1" t="s">
        <v>2723</v>
      </c>
      <c r="F1271" s="1" t="s">
        <v>2699</v>
      </c>
      <c r="G1271" s="1" t="s">
        <v>1838</v>
      </c>
      <c r="H1271" s="1" t="s">
        <v>3575</v>
      </c>
      <c r="I1271" s="1" t="s">
        <v>3576</v>
      </c>
      <c r="J1271" s="1" t="s">
        <v>3577</v>
      </c>
      <c r="K1271" s="1" t="n">
        <f aca="false">IF(Search!$D$5="",0,IF(AND(OR(Search!$N$5="",ISNUMBER(SEARCH(Search!$N$5,J1271))),OR(Search!$N$6="",ISNUMBER(SEARCH(Search!$N$6,J1271))),OR(Search!$N$7="",ISNUMBER(SEARCH(Search!$N$7,J1271))),OR(Search!$N$8="",ISNUMBER(SEARCH(Search!$N$8,J1271)))),1,0))</f>
        <v>0</v>
      </c>
      <c r="L1271" s="1" t="n">
        <f aca="false">L1270+K1271</f>
        <v>0</v>
      </c>
    </row>
    <row r="1272" customFormat="false" ht="15" hidden="false" customHeight="true" outlineLevel="0" collapsed="false">
      <c r="A1272" s="1" t="s">
        <v>303</v>
      </c>
      <c r="B1272" s="1" t="s">
        <v>1221</v>
      </c>
      <c r="C1272" s="1" t="n">
        <v>89</v>
      </c>
      <c r="E1272" s="1" t="s">
        <v>2723</v>
      </c>
      <c r="F1272" s="1" t="s">
        <v>2699</v>
      </c>
      <c r="G1272" s="1" t="s">
        <v>1929</v>
      </c>
      <c r="H1272" s="1" t="s">
        <v>3578</v>
      </c>
      <c r="I1272" s="1" t="s">
        <v>3579</v>
      </c>
      <c r="J1272" s="1" t="s">
        <v>3580</v>
      </c>
      <c r="K1272" s="1" t="n">
        <f aca="false">IF(Search!$D$5="",0,IF(AND(OR(Search!$N$5="",ISNUMBER(SEARCH(Search!$N$5,J1272))),OR(Search!$N$6="",ISNUMBER(SEARCH(Search!$N$6,J1272))),OR(Search!$N$7="",ISNUMBER(SEARCH(Search!$N$7,J1272))),OR(Search!$N$8="",ISNUMBER(SEARCH(Search!$N$8,J1272)))),1,0))</f>
        <v>0</v>
      </c>
      <c r="L1272" s="1" t="n">
        <f aca="false">L1271+K1272</f>
        <v>0</v>
      </c>
    </row>
    <row r="1273" customFormat="false" ht="15" hidden="false" customHeight="true" outlineLevel="0" collapsed="false">
      <c r="A1273" s="1" t="s">
        <v>303</v>
      </c>
      <c r="B1273" s="1" t="s">
        <v>1221</v>
      </c>
      <c r="C1273" s="1" t="n">
        <v>90</v>
      </c>
      <c r="E1273" s="1" t="s">
        <v>2275</v>
      </c>
      <c r="F1273" s="1" t="s">
        <v>3581</v>
      </c>
      <c r="G1273" s="1" t="s">
        <v>987</v>
      </c>
      <c r="H1273" s="1" t="s">
        <v>2260</v>
      </c>
      <c r="I1273" s="1" t="s">
        <v>2261</v>
      </c>
      <c r="J1273" s="1" t="s">
        <v>3582</v>
      </c>
      <c r="K1273" s="1" t="n">
        <f aca="false">IF(Search!$D$5="",0,IF(AND(OR(Search!$N$5="",ISNUMBER(SEARCH(Search!$N$5,J1273))),OR(Search!$N$6="",ISNUMBER(SEARCH(Search!$N$6,J1273))),OR(Search!$N$7="",ISNUMBER(SEARCH(Search!$N$7,J1273))),OR(Search!$N$8="",ISNUMBER(SEARCH(Search!$N$8,J1273)))),1,0))</f>
        <v>0</v>
      </c>
      <c r="L1273" s="1" t="n">
        <f aca="false">L1272+K1273</f>
        <v>0</v>
      </c>
    </row>
    <row r="1274" customFormat="false" ht="15" hidden="false" customHeight="true" outlineLevel="0" collapsed="false">
      <c r="A1274" s="1" t="s">
        <v>303</v>
      </c>
      <c r="B1274" s="1" t="s">
        <v>1221</v>
      </c>
      <c r="C1274" s="1" t="n">
        <v>91</v>
      </c>
      <c r="E1274" s="1" t="s">
        <v>2723</v>
      </c>
      <c r="F1274" s="1" t="s">
        <v>3241</v>
      </c>
      <c r="G1274" s="1" t="s">
        <v>2358</v>
      </c>
      <c r="H1274" s="1" t="s">
        <v>2508</v>
      </c>
      <c r="I1274" s="1" t="s">
        <v>2509</v>
      </c>
      <c r="J1274" s="1" t="s">
        <v>3583</v>
      </c>
      <c r="K1274" s="1" t="n">
        <f aca="false">IF(Search!$D$5="",0,IF(AND(OR(Search!$N$5="",ISNUMBER(SEARCH(Search!$N$5,J1274))),OR(Search!$N$6="",ISNUMBER(SEARCH(Search!$N$6,J1274))),OR(Search!$N$7="",ISNUMBER(SEARCH(Search!$N$7,J1274))),OR(Search!$N$8="",ISNUMBER(SEARCH(Search!$N$8,J1274)))),1,0))</f>
        <v>0</v>
      </c>
      <c r="L1274" s="1" t="n">
        <f aca="false">L1273+K1274</f>
        <v>0</v>
      </c>
    </row>
    <row r="1275" customFormat="false" ht="15" hidden="false" customHeight="true" outlineLevel="0" collapsed="false">
      <c r="A1275" s="1" t="s">
        <v>303</v>
      </c>
      <c r="B1275" s="1" t="s">
        <v>1221</v>
      </c>
      <c r="C1275" s="1" t="n">
        <v>92</v>
      </c>
      <c r="E1275" s="1" t="s">
        <v>2723</v>
      </c>
      <c r="F1275" s="1" t="s">
        <v>3241</v>
      </c>
      <c r="G1275" s="1" t="s">
        <v>1830</v>
      </c>
      <c r="H1275" s="1" t="s">
        <v>2044</v>
      </c>
      <c r="I1275" s="1" t="s">
        <v>2045</v>
      </c>
      <c r="J1275" s="1" t="s">
        <v>3584</v>
      </c>
      <c r="K1275" s="1" t="n">
        <f aca="false">IF(Search!$D$5="",0,IF(AND(OR(Search!$N$5="",ISNUMBER(SEARCH(Search!$N$5,J1275))),OR(Search!$N$6="",ISNUMBER(SEARCH(Search!$N$6,J1275))),OR(Search!$N$7="",ISNUMBER(SEARCH(Search!$N$7,J1275))),OR(Search!$N$8="",ISNUMBER(SEARCH(Search!$N$8,J1275)))),1,0))</f>
        <v>0</v>
      </c>
      <c r="L1275" s="1" t="n">
        <f aca="false">L1274+K1275</f>
        <v>0</v>
      </c>
    </row>
    <row r="1276" customFormat="false" ht="15" hidden="false" customHeight="true" outlineLevel="0" collapsed="false">
      <c r="A1276" s="1" t="s">
        <v>303</v>
      </c>
      <c r="B1276" s="1" t="s">
        <v>1221</v>
      </c>
      <c r="C1276" s="1" t="n">
        <v>93</v>
      </c>
      <c r="E1276" s="1" t="s">
        <v>2723</v>
      </c>
      <c r="F1276" s="1" t="s">
        <v>3241</v>
      </c>
      <c r="G1276" s="1" t="s">
        <v>2377</v>
      </c>
      <c r="H1276" s="1" t="s">
        <v>1745</v>
      </c>
      <c r="I1276" s="1" t="s">
        <v>1746</v>
      </c>
      <c r="J1276" s="1" t="s">
        <v>3585</v>
      </c>
      <c r="K1276" s="1" t="n">
        <f aca="false">IF(Search!$D$5="",0,IF(AND(OR(Search!$N$5="",ISNUMBER(SEARCH(Search!$N$5,J1276))),OR(Search!$N$6="",ISNUMBER(SEARCH(Search!$N$6,J1276))),OR(Search!$N$7="",ISNUMBER(SEARCH(Search!$N$7,J1276))),OR(Search!$N$8="",ISNUMBER(SEARCH(Search!$N$8,J1276)))),1,0))</f>
        <v>0</v>
      </c>
      <c r="L1276" s="1" t="n">
        <f aca="false">L1275+K1276</f>
        <v>0</v>
      </c>
    </row>
    <row r="1277" customFormat="false" ht="15" hidden="false" customHeight="true" outlineLevel="0" collapsed="false">
      <c r="A1277" s="1" t="s">
        <v>303</v>
      </c>
      <c r="B1277" s="1" t="s">
        <v>1221</v>
      </c>
      <c r="C1277" s="1" t="n">
        <v>94</v>
      </c>
      <c r="E1277" s="1" t="s">
        <v>2723</v>
      </c>
      <c r="F1277" s="1" t="s">
        <v>3241</v>
      </c>
      <c r="G1277" s="1" t="s">
        <v>1834</v>
      </c>
      <c r="H1277" s="1" t="s">
        <v>3572</v>
      </c>
      <c r="I1277" s="1" t="s">
        <v>3573</v>
      </c>
      <c r="J1277" s="1" t="s">
        <v>3586</v>
      </c>
      <c r="K1277" s="1" t="n">
        <f aca="false">IF(Search!$D$5="",0,IF(AND(OR(Search!$N$5="",ISNUMBER(SEARCH(Search!$N$5,J1277))),OR(Search!$N$6="",ISNUMBER(SEARCH(Search!$N$6,J1277))),OR(Search!$N$7="",ISNUMBER(SEARCH(Search!$N$7,J1277))),OR(Search!$N$8="",ISNUMBER(SEARCH(Search!$N$8,J1277)))),1,0))</f>
        <v>0</v>
      </c>
      <c r="L1277" s="1" t="n">
        <f aca="false">L1276+K1277</f>
        <v>0</v>
      </c>
    </row>
    <row r="1278" customFormat="false" ht="15" hidden="false" customHeight="true" outlineLevel="0" collapsed="false">
      <c r="A1278" s="1" t="s">
        <v>303</v>
      </c>
      <c r="B1278" s="1" t="s">
        <v>1221</v>
      </c>
      <c r="C1278" s="1" t="n">
        <v>95</v>
      </c>
      <c r="E1278" s="1" t="s">
        <v>2723</v>
      </c>
      <c r="F1278" s="1" t="s">
        <v>3241</v>
      </c>
      <c r="G1278" s="1" t="s">
        <v>1838</v>
      </c>
      <c r="H1278" s="1" t="s">
        <v>3575</v>
      </c>
      <c r="I1278" s="1" t="s">
        <v>3576</v>
      </c>
      <c r="J1278" s="1" t="s">
        <v>3587</v>
      </c>
      <c r="K1278" s="1" t="n">
        <f aca="false">IF(Search!$D$5="",0,IF(AND(OR(Search!$N$5="",ISNUMBER(SEARCH(Search!$N$5,J1278))),OR(Search!$N$6="",ISNUMBER(SEARCH(Search!$N$6,J1278))),OR(Search!$N$7="",ISNUMBER(SEARCH(Search!$N$7,J1278))),OR(Search!$N$8="",ISNUMBER(SEARCH(Search!$N$8,J1278)))),1,0))</f>
        <v>0</v>
      </c>
      <c r="L1278" s="1" t="n">
        <f aca="false">L1277+K1278</f>
        <v>0</v>
      </c>
    </row>
    <row r="1279" customFormat="false" ht="15" hidden="false" customHeight="true" outlineLevel="0" collapsed="false">
      <c r="A1279" s="1" t="s">
        <v>303</v>
      </c>
      <c r="B1279" s="1" t="s">
        <v>1221</v>
      </c>
      <c r="C1279" s="1" t="n">
        <v>96</v>
      </c>
      <c r="E1279" s="1" t="s">
        <v>2723</v>
      </c>
      <c r="F1279" s="1" t="s">
        <v>3241</v>
      </c>
      <c r="G1279" s="1" t="s">
        <v>1929</v>
      </c>
      <c r="H1279" s="1" t="s">
        <v>3578</v>
      </c>
      <c r="I1279" s="1" t="s">
        <v>3579</v>
      </c>
      <c r="J1279" s="1" t="s">
        <v>3588</v>
      </c>
      <c r="K1279" s="1" t="n">
        <f aca="false">IF(Search!$D$5="",0,IF(AND(OR(Search!$N$5="",ISNUMBER(SEARCH(Search!$N$5,J1279))),OR(Search!$N$6="",ISNUMBER(SEARCH(Search!$N$6,J1279))),OR(Search!$N$7="",ISNUMBER(SEARCH(Search!$N$7,J1279))),OR(Search!$N$8="",ISNUMBER(SEARCH(Search!$N$8,J1279)))),1,0))</f>
        <v>0</v>
      </c>
      <c r="L1279" s="1" t="n">
        <f aca="false">L1278+K1279</f>
        <v>0</v>
      </c>
    </row>
    <row r="1280" customFormat="false" ht="15" hidden="false" customHeight="true" outlineLevel="0" collapsed="false">
      <c r="A1280" s="1" t="s">
        <v>303</v>
      </c>
      <c r="B1280" s="1" t="s">
        <v>1221</v>
      </c>
      <c r="C1280" s="1" t="n">
        <v>97</v>
      </c>
      <c r="E1280" s="1" t="s">
        <v>2298</v>
      </c>
      <c r="F1280" s="1" t="s">
        <v>3589</v>
      </c>
      <c r="G1280" s="1" t="s">
        <v>2377</v>
      </c>
      <c r="H1280" s="1" t="s">
        <v>2282</v>
      </c>
      <c r="I1280" s="1" t="s">
        <v>2283</v>
      </c>
      <c r="J1280" s="1" t="s">
        <v>3590</v>
      </c>
      <c r="K1280" s="1" t="n">
        <f aca="false">IF(Search!$D$5="",0,IF(AND(OR(Search!$N$5="",ISNUMBER(SEARCH(Search!$N$5,J1280))),OR(Search!$N$6="",ISNUMBER(SEARCH(Search!$N$6,J1280))),OR(Search!$N$7="",ISNUMBER(SEARCH(Search!$N$7,J1280))),OR(Search!$N$8="",ISNUMBER(SEARCH(Search!$N$8,J1280)))),1,0))</f>
        <v>0</v>
      </c>
      <c r="L1280" s="1" t="n">
        <f aca="false">L1279+K1280</f>
        <v>0</v>
      </c>
    </row>
    <row r="1281" customFormat="false" ht="15" hidden="false" customHeight="true" outlineLevel="0" collapsed="false">
      <c r="A1281" s="1" t="s">
        <v>303</v>
      </c>
      <c r="B1281" s="1" t="s">
        <v>1221</v>
      </c>
      <c r="C1281" s="1" t="n">
        <v>98</v>
      </c>
      <c r="E1281" s="1" t="s">
        <v>2723</v>
      </c>
      <c r="F1281" s="1" t="s">
        <v>2717</v>
      </c>
      <c r="G1281" s="1" t="s">
        <v>1834</v>
      </c>
      <c r="H1281" s="1" t="s">
        <v>2282</v>
      </c>
      <c r="I1281" s="1" t="s">
        <v>2283</v>
      </c>
      <c r="J1281" s="1" t="s">
        <v>3591</v>
      </c>
      <c r="K1281" s="1" t="n">
        <f aca="false">IF(Search!$D$5="",0,IF(AND(OR(Search!$N$5="",ISNUMBER(SEARCH(Search!$N$5,J1281))),OR(Search!$N$6="",ISNUMBER(SEARCH(Search!$N$6,J1281))),OR(Search!$N$7="",ISNUMBER(SEARCH(Search!$N$7,J1281))),OR(Search!$N$8="",ISNUMBER(SEARCH(Search!$N$8,J1281)))),1,0))</f>
        <v>0</v>
      </c>
      <c r="L1281" s="1" t="n">
        <f aca="false">L1280+K1281</f>
        <v>0</v>
      </c>
    </row>
    <row r="1282" customFormat="false" ht="15" hidden="false" customHeight="true" outlineLevel="0" collapsed="false">
      <c r="A1282" s="1" t="s">
        <v>303</v>
      </c>
      <c r="B1282" s="1" t="s">
        <v>1221</v>
      </c>
      <c r="C1282" s="1" t="n">
        <v>99</v>
      </c>
      <c r="E1282" s="1" t="s">
        <v>2723</v>
      </c>
      <c r="F1282" s="1" t="s">
        <v>2717</v>
      </c>
      <c r="G1282" s="1" t="s">
        <v>1838</v>
      </c>
      <c r="H1282" s="1" t="s">
        <v>2766</v>
      </c>
      <c r="I1282" s="1" t="s">
        <v>3301</v>
      </c>
      <c r="J1282" s="1" t="s">
        <v>3592</v>
      </c>
      <c r="K1282" s="1" t="n">
        <f aca="false">IF(Search!$D$5="",0,IF(AND(OR(Search!$N$5="",ISNUMBER(SEARCH(Search!$N$5,J1282))),OR(Search!$N$6="",ISNUMBER(SEARCH(Search!$N$6,J1282))),OR(Search!$N$7="",ISNUMBER(SEARCH(Search!$N$7,J1282))),OR(Search!$N$8="",ISNUMBER(SEARCH(Search!$N$8,J1282)))),1,0))</f>
        <v>0</v>
      </c>
      <c r="L1282" s="1" t="n">
        <f aca="false">L1281+K1282</f>
        <v>0</v>
      </c>
    </row>
    <row r="1283" customFormat="false" ht="15" hidden="false" customHeight="true" outlineLevel="0" collapsed="false">
      <c r="A1283" s="1" t="s">
        <v>303</v>
      </c>
      <c r="B1283" s="1" t="s">
        <v>1221</v>
      </c>
      <c r="C1283" s="1" t="n">
        <v>100</v>
      </c>
      <c r="E1283" s="1" t="s">
        <v>2723</v>
      </c>
      <c r="F1283" s="1" t="s">
        <v>2717</v>
      </c>
      <c r="G1283" s="1" t="s">
        <v>1929</v>
      </c>
      <c r="H1283" s="1" t="s">
        <v>3303</v>
      </c>
      <c r="I1283" s="1" t="s">
        <v>3304</v>
      </c>
      <c r="J1283" s="1" t="s">
        <v>3593</v>
      </c>
      <c r="K1283" s="1" t="n">
        <f aca="false">IF(Search!$D$5="",0,IF(AND(OR(Search!$N$5="",ISNUMBER(SEARCH(Search!$N$5,J1283))),OR(Search!$N$6="",ISNUMBER(SEARCH(Search!$N$6,J1283))),OR(Search!$N$7="",ISNUMBER(SEARCH(Search!$N$7,J1283))),OR(Search!$N$8="",ISNUMBER(SEARCH(Search!$N$8,J1283)))),1,0))</f>
        <v>0</v>
      </c>
      <c r="L1283" s="1" t="n">
        <f aca="false">L1282+K1283</f>
        <v>0</v>
      </c>
    </row>
    <row r="1284" customFormat="false" ht="15" hidden="false" customHeight="true" outlineLevel="0" collapsed="false">
      <c r="A1284" s="1" t="s">
        <v>303</v>
      </c>
      <c r="B1284" s="1" t="s">
        <v>1221</v>
      </c>
      <c r="C1284" s="1" t="n">
        <v>101</v>
      </c>
      <c r="E1284" s="1" t="s">
        <v>2723</v>
      </c>
      <c r="F1284" s="1" t="s">
        <v>2717</v>
      </c>
      <c r="G1284" s="1" t="s">
        <v>627</v>
      </c>
      <c r="H1284" s="1" t="s">
        <v>1795</v>
      </c>
      <c r="I1284" s="1" t="s">
        <v>1796</v>
      </c>
      <c r="J1284" s="1" t="s">
        <v>3594</v>
      </c>
      <c r="K1284" s="1" t="n">
        <f aca="false">IF(Search!$D$5="",0,IF(AND(OR(Search!$N$5="",ISNUMBER(SEARCH(Search!$N$5,J1284))),OR(Search!$N$6="",ISNUMBER(SEARCH(Search!$N$6,J1284))),OR(Search!$N$7="",ISNUMBER(SEARCH(Search!$N$7,J1284))),OR(Search!$N$8="",ISNUMBER(SEARCH(Search!$N$8,J1284)))),1,0))</f>
        <v>0</v>
      </c>
      <c r="L1284" s="1" t="n">
        <f aca="false">L1283+K1284</f>
        <v>0</v>
      </c>
    </row>
    <row r="1285" customFormat="false" ht="15" hidden="false" customHeight="true" outlineLevel="0" collapsed="false">
      <c r="A1285" s="1" t="s">
        <v>303</v>
      </c>
      <c r="B1285" s="1" t="s">
        <v>1221</v>
      </c>
      <c r="C1285" s="1" t="n">
        <v>102</v>
      </c>
      <c r="E1285" s="1" t="s">
        <v>2329</v>
      </c>
      <c r="F1285" s="1" t="s">
        <v>3595</v>
      </c>
      <c r="G1285" s="1" t="s">
        <v>1830</v>
      </c>
      <c r="H1285" s="1" t="s">
        <v>585</v>
      </c>
      <c r="I1285" s="1" t="s">
        <v>3596</v>
      </c>
      <c r="J1285" s="1" t="s">
        <v>3597</v>
      </c>
      <c r="K1285" s="1" t="n">
        <f aca="false">IF(Search!$D$5="",0,IF(AND(OR(Search!$N$5="",ISNUMBER(SEARCH(Search!$N$5,J1285))),OR(Search!$N$6="",ISNUMBER(SEARCH(Search!$N$6,J1285))),OR(Search!$N$7="",ISNUMBER(SEARCH(Search!$N$7,J1285))),OR(Search!$N$8="",ISNUMBER(SEARCH(Search!$N$8,J1285)))),1,0))</f>
        <v>0</v>
      </c>
      <c r="L1285" s="1" t="n">
        <f aca="false">L1284+K1285</f>
        <v>0</v>
      </c>
    </row>
    <row r="1286" customFormat="false" ht="15" hidden="false" customHeight="true" outlineLevel="0" collapsed="false">
      <c r="A1286" s="1" t="s">
        <v>303</v>
      </c>
      <c r="B1286" s="1" t="s">
        <v>1221</v>
      </c>
      <c r="C1286" s="1" t="n">
        <v>103</v>
      </c>
      <c r="E1286" s="1" t="s">
        <v>712</v>
      </c>
      <c r="F1286" s="1" t="s">
        <v>2717</v>
      </c>
      <c r="G1286" s="1" t="s">
        <v>2377</v>
      </c>
      <c r="H1286" s="1" t="s">
        <v>3598</v>
      </c>
      <c r="I1286" s="1" t="s">
        <v>3599</v>
      </c>
      <c r="J1286" s="1" t="s">
        <v>3600</v>
      </c>
      <c r="K1286" s="1" t="n">
        <f aca="false">IF(Search!$D$5="",0,IF(AND(OR(Search!$N$5="",ISNUMBER(SEARCH(Search!$N$5,J1286))),OR(Search!$N$6="",ISNUMBER(SEARCH(Search!$N$6,J1286))),OR(Search!$N$7="",ISNUMBER(SEARCH(Search!$N$7,J1286))),OR(Search!$N$8="",ISNUMBER(SEARCH(Search!$N$8,J1286)))),1,0))</f>
        <v>0</v>
      </c>
      <c r="L1286" s="1" t="n">
        <f aca="false">L1285+K1286</f>
        <v>0</v>
      </c>
    </row>
    <row r="1287" customFormat="false" ht="15" hidden="false" customHeight="true" outlineLevel="0" collapsed="false">
      <c r="A1287" s="1" t="s">
        <v>303</v>
      </c>
      <c r="B1287" s="1" t="s">
        <v>1221</v>
      </c>
      <c r="C1287" s="1" t="n">
        <v>104</v>
      </c>
      <c r="E1287" s="1" t="s">
        <v>712</v>
      </c>
      <c r="F1287" s="1" t="s">
        <v>2717</v>
      </c>
      <c r="G1287" s="1" t="s">
        <v>1834</v>
      </c>
      <c r="H1287" s="1" t="s">
        <v>3297</v>
      </c>
      <c r="I1287" s="1" t="s">
        <v>3298</v>
      </c>
      <c r="J1287" s="1" t="s">
        <v>3601</v>
      </c>
      <c r="K1287" s="1" t="n">
        <f aca="false">IF(Search!$D$5="",0,IF(AND(OR(Search!$N$5="",ISNUMBER(SEARCH(Search!$N$5,J1287))),OR(Search!$N$6="",ISNUMBER(SEARCH(Search!$N$6,J1287))),OR(Search!$N$7="",ISNUMBER(SEARCH(Search!$N$7,J1287))),OR(Search!$N$8="",ISNUMBER(SEARCH(Search!$N$8,J1287)))),1,0))</f>
        <v>0</v>
      </c>
      <c r="L1287" s="1" t="n">
        <f aca="false">L1286+K1287</f>
        <v>0</v>
      </c>
    </row>
    <row r="1288" customFormat="false" ht="15" hidden="false" customHeight="true" outlineLevel="0" collapsed="false">
      <c r="A1288" s="1" t="s">
        <v>303</v>
      </c>
      <c r="B1288" s="1" t="s">
        <v>1221</v>
      </c>
      <c r="C1288" s="1" t="n">
        <v>105</v>
      </c>
      <c r="E1288" s="1" t="s">
        <v>712</v>
      </c>
      <c r="F1288" s="1" t="s">
        <v>2717</v>
      </c>
      <c r="G1288" s="1" t="s">
        <v>1838</v>
      </c>
      <c r="H1288" s="1" t="s">
        <v>2766</v>
      </c>
      <c r="I1288" s="1" t="s">
        <v>3301</v>
      </c>
      <c r="J1288" s="1" t="s">
        <v>3602</v>
      </c>
      <c r="K1288" s="1" t="n">
        <f aca="false">IF(Search!$D$5="",0,IF(AND(OR(Search!$N$5="",ISNUMBER(SEARCH(Search!$N$5,J1288))),OR(Search!$N$6="",ISNUMBER(SEARCH(Search!$N$6,J1288))),OR(Search!$N$7="",ISNUMBER(SEARCH(Search!$N$7,J1288))),OR(Search!$N$8="",ISNUMBER(SEARCH(Search!$N$8,J1288)))),1,0))</f>
        <v>0</v>
      </c>
      <c r="L1288" s="1" t="n">
        <f aca="false">L1287+K1288</f>
        <v>0</v>
      </c>
    </row>
    <row r="1289" customFormat="false" ht="15" hidden="false" customHeight="true" outlineLevel="0" collapsed="false">
      <c r="A1289" s="1" t="s">
        <v>303</v>
      </c>
      <c r="B1289" s="1" t="s">
        <v>1221</v>
      </c>
      <c r="C1289" s="1" t="n">
        <v>106</v>
      </c>
      <c r="E1289" s="1" t="s">
        <v>712</v>
      </c>
      <c r="F1289" s="1" t="s">
        <v>2717</v>
      </c>
      <c r="G1289" s="1" t="s">
        <v>1929</v>
      </c>
      <c r="H1289" s="1" t="s">
        <v>3303</v>
      </c>
      <c r="I1289" s="1" t="s">
        <v>3304</v>
      </c>
      <c r="J1289" s="1" t="s">
        <v>3603</v>
      </c>
      <c r="K1289" s="1" t="n">
        <f aca="false">IF(Search!$D$5="",0,IF(AND(OR(Search!$N$5="",ISNUMBER(SEARCH(Search!$N$5,J1289))),OR(Search!$N$6="",ISNUMBER(SEARCH(Search!$N$6,J1289))),OR(Search!$N$7="",ISNUMBER(SEARCH(Search!$N$7,J1289))),OR(Search!$N$8="",ISNUMBER(SEARCH(Search!$N$8,J1289)))),1,0))</f>
        <v>0</v>
      </c>
      <c r="L1289" s="1" t="n">
        <f aca="false">L1288+K1289</f>
        <v>0</v>
      </c>
    </row>
    <row r="1290" customFormat="false" ht="15" hidden="false" customHeight="true" outlineLevel="0" collapsed="false">
      <c r="A1290" s="1" t="s">
        <v>303</v>
      </c>
      <c r="B1290" s="1" t="s">
        <v>1221</v>
      </c>
      <c r="C1290" s="1" t="n">
        <v>107</v>
      </c>
      <c r="E1290" s="1" t="s">
        <v>712</v>
      </c>
      <c r="F1290" s="1" t="s">
        <v>2717</v>
      </c>
      <c r="G1290" s="1" t="s">
        <v>627</v>
      </c>
      <c r="H1290" s="1" t="s">
        <v>1795</v>
      </c>
      <c r="I1290" s="1" t="s">
        <v>1796</v>
      </c>
      <c r="J1290" s="1" t="s">
        <v>3604</v>
      </c>
      <c r="K1290" s="1" t="n">
        <f aca="false">IF(Search!$D$5="",0,IF(AND(OR(Search!$N$5="",ISNUMBER(SEARCH(Search!$N$5,J1290))),OR(Search!$N$6="",ISNUMBER(SEARCH(Search!$N$6,J1290))),OR(Search!$N$7="",ISNUMBER(SEARCH(Search!$N$7,J1290))),OR(Search!$N$8="",ISNUMBER(SEARCH(Search!$N$8,J1290)))),1,0))</f>
        <v>0</v>
      </c>
      <c r="L1290" s="1" t="n">
        <f aca="false">L1289+K1290</f>
        <v>0</v>
      </c>
    </row>
    <row r="1291" customFormat="false" ht="15" hidden="false" customHeight="true" outlineLevel="0" collapsed="false">
      <c r="A1291" s="1" t="s">
        <v>303</v>
      </c>
      <c r="B1291" s="1" t="s">
        <v>1221</v>
      </c>
      <c r="C1291" s="1" t="n">
        <v>108</v>
      </c>
      <c r="E1291" s="1" t="s">
        <v>3605</v>
      </c>
      <c r="F1291" s="1" t="s">
        <v>3606</v>
      </c>
      <c r="G1291" s="1" t="s">
        <v>1838</v>
      </c>
      <c r="H1291" s="1" t="s">
        <v>3318</v>
      </c>
      <c r="I1291" s="1" t="s">
        <v>3319</v>
      </c>
      <c r="J1291" s="1" t="s">
        <v>3607</v>
      </c>
      <c r="K1291" s="1" t="n">
        <f aca="false">IF(Search!$D$5="",0,IF(AND(OR(Search!$N$5="",ISNUMBER(SEARCH(Search!$N$5,J1291))),OR(Search!$N$6="",ISNUMBER(SEARCH(Search!$N$6,J1291))),OR(Search!$N$7="",ISNUMBER(SEARCH(Search!$N$7,J1291))),OR(Search!$N$8="",ISNUMBER(SEARCH(Search!$N$8,J1291)))),1,0))</f>
        <v>0</v>
      </c>
      <c r="L1291" s="1" t="n">
        <f aca="false">L1290+K1291</f>
        <v>0</v>
      </c>
    </row>
    <row r="1292" customFormat="false" ht="15" hidden="false" customHeight="true" outlineLevel="0" collapsed="false">
      <c r="A1292" s="1" t="s">
        <v>303</v>
      </c>
      <c r="B1292" s="1" t="s">
        <v>1221</v>
      </c>
      <c r="C1292" s="1" t="n">
        <v>109</v>
      </c>
      <c r="E1292" s="1" t="s">
        <v>2737</v>
      </c>
      <c r="F1292" s="1" t="s">
        <v>2723</v>
      </c>
      <c r="G1292" s="1" t="s">
        <v>1929</v>
      </c>
      <c r="H1292" s="1" t="s">
        <v>3324</v>
      </c>
      <c r="I1292" s="1" t="s">
        <v>3325</v>
      </c>
      <c r="J1292" s="1" t="s">
        <v>3608</v>
      </c>
      <c r="K1292" s="1" t="n">
        <f aca="false">IF(Search!$D$5="",0,IF(AND(OR(Search!$N$5="",ISNUMBER(SEARCH(Search!$N$5,J1292))),OR(Search!$N$6="",ISNUMBER(SEARCH(Search!$N$6,J1292))),OR(Search!$N$7="",ISNUMBER(SEARCH(Search!$N$7,J1292))),OR(Search!$N$8="",ISNUMBER(SEARCH(Search!$N$8,J1292)))),1,0))</f>
        <v>0</v>
      </c>
      <c r="L1292" s="1" t="n">
        <f aca="false">L1291+K1292</f>
        <v>0</v>
      </c>
    </row>
    <row r="1293" customFormat="false" ht="15" hidden="false" customHeight="true" outlineLevel="0" collapsed="false">
      <c r="A1293" s="1" t="s">
        <v>303</v>
      </c>
      <c r="B1293" s="1" t="s">
        <v>1221</v>
      </c>
      <c r="C1293" s="1" t="n">
        <v>110</v>
      </c>
      <c r="E1293" s="1" t="s">
        <v>2737</v>
      </c>
      <c r="F1293" s="1" t="s">
        <v>2723</v>
      </c>
      <c r="G1293" s="1" t="s">
        <v>627</v>
      </c>
      <c r="H1293" s="1" t="s">
        <v>3327</v>
      </c>
      <c r="I1293" s="1" t="s">
        <v>3328</v>
      </c>
      <c r="J1293" s="1" t="s">
        <v>3609</v>
      </c>
      <c r="K1293" s="1" t="n">
        <f aca="false">IF(Search!$D$5="",0,IF(AND(OR(Search!$N$5="",ISNUMBER(SEARCH(Search!$N$5,J1293))),OR(Search!$N$6="",ISNUMBER(SEARCH(Search!$N$6,J1293))),OR(Search!$N$7="",ISNUMBER(SEARCH(Search!$N$7,J1293))),OR(Search!$N$8="",ISNUMBER(SEARCH(Search!$N$8,J1293)))),1,0))</f>
        <v>0</v>
      </c>
      <c r="L1293" s="1" t="n">
        <f aca="false">L1292+K1293</f>
        <v>0</v>
      </c>
    </row>
    <row r="1294" customFormat="false" ht="15" hidden="false" customHeight="true" outlineLevel="0" collapsed="false">
      <c r="A1294" s="1" t="s">
        <v>303</v>
      </c>
      <c r="B1294" s="1" t="s">
        <v>1221</v>
      </c>
      <c r="C1294" s="1" t="n">
        <v>111</v>
      </c>
      <c r="E1294" s="1" t="s">
        <v>3610</v>
      </c>
      <c r="F1294" s="1" t="s">
        <v>3611</v>
      </c>
      <c r="G1294" s="1" t="s">
        <v>1838</v>
      </c>
      <c r="H1294" s="1" t="s">
        <v>3331</v>
      </c>
      <c r="I1294" s="1" t="s">
        <v>3332</v>
      </c>
      <c r="J1294" s="1" t="s">
        <v>3612</v>
      </c>
      <c r="K1294" s="1" t="n">
        <f aca="false">IF(Search!$D$5="",0,IF(AND(OR(Search!$N$5="",ISNUMBER(SEARCH(Search!$N$5,J1294))),OR(Search!$N$6="",ISNUMBER(SEARCH(Search!$N$6,J1294))),OR(Search!$N$7="",ISNUMBER(SEARCH(Search!$N$7,J1294))),OR(Search!$N$8="",ISNUMBER(SEARCH(Search!$N$8,J1294)))),1,0))</f>
        <v>0</v>
      </c>
      <c r="L1294" s="1" t="n">
        <f aca="false">L1293+K1294</f>
        <v>0</v>
      </c>
    </row>
    <row r="1295" customFormat="false" ht="15" hidden="false" customHeight="true" outlineLevel="0" collapsed="false">
      <c r="A1295" s="1" t="s">
        <v>303</v>
      </c>
      <c r="B1295" s="1" t="s">
        <v>1221</v>
      </c>
      <c r="C1295" s="1" t="n">
        <v>112</v>
      </c>
      <c r="E1295" s="1" t="s">
        <v>729</v>
      </c>
      <c r="F1295" s="1" t="s">
        <v>712</v>
      </c>
      <c r="G1295" s="1" t="s">
        <v>1929</v>
      </c>
      <c r="H1295" s="1" t="s">
        <v>3337</v>
      </c>
      <c r="I1295" s="1" t="s">
        <v>3338</v>
      </c>
      <c r="J1295" s="1" t="s">
        <v>3613</v>
      </c>
      <c r="K1295" s="1" t="n">
        <f aca="false">IF(Search!$D$5="",0,IF(AND(OR(Search!$N$5="",ISNUMBER(SEARCH(Search!$N$5,J1295))),OR(Search!$N$6="",ISNUMBER(SEARCH(Search!$N$6,J1295))),OR(Search!$N$7="",ISNUMBER(SEARCH(Search!$N$7,J1295))),OR(Search!$N$8="",ISNUMBER(SEARCH(Search!$N$8,J1295)))),1,0))</f>
        <v>0</v>
      </c>
      <c r="L1295" s="1" t="n">
        <f aca="false">L1294+K1295</f>
        <v>0</v>
      </c>
    </row>
    <row r="1296" customFormat="false" ht="15" hidden="false" customHeight="true" outlineLevel="0" collapsed="false">
      <c r="A1296" s="1" t="s">
        <v>303</v>
      </c>
      <c r="B1296" s="1" t="s">
        <v>1221</v>
      </c>
      <c r="C1296" s="1" t="n">
        <v>113</v>
      </c>
      <c r="E1296" s="1" t="s">
        <v>729</v>
      </c>
      <c r="F1296" s="1" t="s">
        <v>712</v>
      </c>
      <c r="G1296" s="1" t="s">
        <v>627</v>
      </c>
      <c r="H1296" s="1" t="s">
        <v>3340</v>
      </c>
      <c r="I1296" s="1" t="s">
        <v>3341</v>
      </c>
      <c r="J1296" s="1" t="s">
        <v>3614</v>
      </c>
      <c r="K1296" s="1" t="n">
        <f aca="false">IF(Search!$D$5="",0,IF(AND(OR(Search!$N$5="",ISNUMBER(SEARCH(Search!$N$5,J1296))),OR(Search!$N$6="",ISNUMBER(SEARCH(Search!$N$6,J1296))),OR(Search!$N$7="",ISNUMBER(SEARCH(Search!$N$7,J1296))),OR(Search!$N$8="",ISNUMBER(SEARCH(Search!$N$8,J1296)))),1,0))</f>
        <v>0</v>
      </c>
      <c r="L1296" s="1" t="n">
        <f aca="false">L1295+K1296</f>
        <v>0</v>
      </c>
    </row>
    <row r="1297" customFormat="false" ht="15" hidden="false" customHeight="true" outlineLevel="0" collapsed="false">
      <c r="A1297" s="1" t="s">
        <v>303</v>
      </c>
      <c r="B1297" s="1" t="s">
        <v>1221</v>
      </c>
      <c r="C1297" s="1" t="n">
        <v>114</v>
      </c>
      <c r="E1297" s="1" t="s">
        <v>729</v>
      </c>
      <c r="F1297" s="1" t="s">
        <v>712</v>
      </c>
      <c r="G1297" s="1" t="s">
        <v>2081</v>
      </c>
      <c r="H1297" s="1" t="s">
        <v>3343</v>
      </c>
      <c r="I1297" s="1" t="s">
        <v>3344</v>
      </c>
      <c r="J1297" s="1" t="s">
        <v>3615</v>
      </c>
      <c r="K1297" s="1" t="n">
        <f aca="false">IF(Search!$D$5="",0,IF(AND(OR(Search!$N$5="",ISNUMBER(SEARCH(Search!$N$5,J1297))),OR(Search!$N$6="",ISNUMBER(SEARCH(Search!$N$6,J1297))),OR(Search!$N$7="",ISNUMBER(SEARCH(Search!$N$7,J1297))),OR(Search!$N$8="",ISNUMBER(SEARCH(Search!$N$8,J1297)))),1,0))</f>
        <v>0</v>
      </c>
      <c r="L1297" s="1" t="n">
        <f aca="false">L1296+K1297</f>
        <v>0</v>
      </c>
    </row>
    <row r="1298" customFormat="false" ht="15" hidden="false" customHeight="true" outlineLevel="0" collapsed="false">
      <c r="A1298" s="1" t="s">
        <v>303</v>
      </c>
      <c r="B1298" s="1" t="s">
        <v>1221</v>
      </c>
      <c r="C1298" s="1" t="n">
        <v>115</v>
      </c>
      <c r="E1298" s="1" t="s">
        <v>3616</v>
      </c>
      <c r="F1298" s="1" t="s">
        <v>3617</v>
      </c>
      <c r="G1298" s="1" t="s">
        <v>1838</v>
      </c>
      <c r="H1298" s="1" t="s">
        <v>3347</v>
      </c>
      <c r="I1298" s="1" t="s">
        <v>3348</v>
      </c>
      <c r="J1298" s="1" t="s">
        <v>3618</v>
      </c>
      <c r="K1298" s="1" t="n">
        <f aca="false">IF(Search!$D$5="",0,IF(AND(OR(Search!$N$5="",ISNUMBER(SEARCH(Search!$N$5,J1298))),OR(Search!$N$6="",ISNUMBER(SEARCH(Search!$N$6,J1298))),OR(Search!$N$7="",ISNUMBER(SEARCH(Search!$N$7,J1298))),OR(Search!$N$8="",ISNUMBER(SEARCH(Search!$N$8,J1298)))),1,0))</f>
        <v>0</v>
      </c>
      <c r="L1298" s="1" t="n">
        <f aca="false">L1297+K1298</f>
        <v>0</v>
      </c>
    </row>
    <row r="1299" customFormat="false" ht="15" hidden="false" customHeight="true" outlineLevel="0" collapsed="false">
      <c r="A1299" s="1" t="s">
        <v>303</v>
      </c>
      <c r="B1299" s="1" t="s">
        <v>1221</v>
      </c>
      <c r="C1299" s="1" t="n">
        <v>116</v>
      </c>
      <c r="E1299" s="1" t="s">
        <v>457</v>
      </c>
      <c r="F1299" s="1" t="s">
        <v>2737</v>
      </c>
      <c r="G1299" s="1" t="s">
        <v>1929</v>
      </c>
      <c r="H1299" s="1" t="s">
        <v>3350</v>
      </c>
      <c r="I1299" s="1" t="s">
        <v>3351</v>
      </c>
      <c r="J1299" s="1" t="s">
        <v>3619</v>
      </c>
      <c r="K1299" s="1" t="n">
        <f aca="false">IF(Search!$D$5="",0,IF(AND(OR(Search!$N$5="",ISNUMBER(SEARCH(Search!$N$5,J1299))),OR(Search!$N$6="",ISNUMBER(SEARCH(Search!$N$6,J1299))),OR(Search!$N$7="",ISNUMBER(SEARCH(Search!$N$7,J1299))),OR(Search!$N$8="",ISNUMBER(SEARCH(Search!$N$8,J1299)))),1,0))</f>
        <v>0</v>
      </c>
      <c r="L1299" s="1" t="n">
        <f aca="false">L1298+K1299</f>
        <v>0</v>
      </c>
    </row>
    <row r="1300" customFormat="false" ht="15" hidden="false" customHeight="true" outlineLevel="0" collapsed="false">
      <c r="A1300" s="1" t="s">
        <v>303</v>
      </c>
      <c r="B1300" s="1" t="s">
        <v>1221</v>
      </c>
      <c r="C1300" s="1" t="n">
        <v>117</v>
      </c>
      <c r="E1300" s="1" t="s">
        <v>457</v>
      </c>
      <c r="F1300" s="1" t="s">
        <v>2737</v>
      </c>
      <c r="G1300" s="1" t="s">
        <v>627</v>
      </c>
      <c r="H1300" s="1" t="s">
        <v>3353</v>
      </c>
      <c r="I1300" s="1" t="s">
        <v>3354</v>
      </c>
      <c r="J1300" s="1" t="s">
        <v>3620</v>
      </c>
      <c r="K1300" s="1" t="n">
        <f aca="false">IF(Search!$D$5="",0,IF(AND(OR(Search!$N$5="",ISNUMBER(SEARCH(Search!$N$5,J1300))),OR(Search!$N$6="",ISNUMBER(SEARCH(Search!$N$6,J1300))),OR(Search!$N$7="",ISNUMBER(SEARCH(Search!$N$7,J1300))),OR(Search!$N$8="",ISNUMBER(SEARCH(Search!$N$8,J1300)))),1,0))</f>
        <v>0</v>
      </c>
      <c r="L1300" s="1" t="n">
        <f aca="false">L1299+K1300</f>
        <v>0</v>
      </c>
    </row>
    <row r="1301" customFormat="false" ht="15" hidden="false" customHeight="true" outlineLevel="0" collapsed="false">
      <c r="A1301" s="1" t="s">
        <v>303</v>
      </c>
      <c r="B1301" s="1" t="s">
        <v>1221</v>
      </c>
      <c r="C1301" s="1" t="n">
        <v>118</v>
      </c>
      <c r="E1301" s="1" t="s">
        <v>457</v>
      </c>
      <c r="F1301" s="1" t="s">
        <v>2737</v>
      </c>
      <c r="G1301" s="1" t="s">
        <v>2081</v>
      </c>
      <c r="H1301" s="1" t="s">
        <v>2129</v>
      </c>
      <c r="I1301" s="1" t="s">
        <v>3356</v>
      </c>
      <c r="J1301" s="1" t="s">
        <v>3621</v>
      </c>
      <c r="K1301" s="1" t="n">
        <f aca="false">IF(Search!$D$5="",0,IF(AND(OR(Search!$N$5="",ISNUMBER(SEARCH(Search!$N$5,J1301))),OR(Search!$N$6="",ISNUMBER(SEARCH(Search!$N$6,J1301))),OR(Search!$N$7="",ISNUMBER(SEARCH(Search!$N$7,J1301))),OR(Search!$N$8="",ISNUMBER(SEARCH(Search!$N$8,J1301)))),1,0))</f>
        <v>0</v>
      </c>
      <c r="L1301" s="1" t="n">
        <f aca="false">L1300+K1301</f>
        <v>0</v>
      </c>
    </row>
    <row r="1302" customFormat="false" ht="15" hidden="false" customHeight="true" outlineLevel="0" collapsed="false">
      <c r="A1302" s="1" t="s">
        <v>303</v>
      </c>
      <c r="B1302" s="1" t="s">
        <v>1221</v>
      </c>
      <c r="C1302" s="1" t="n">
        <v>119</v>
      </c>
      <c r="E1302" s="1" t="s">
        <v>3622</v>
      </c>
      <c r="F1302" s="1" t="s">
        <v>3623</v>
      </c>
      <c r="G1302" s="1" t="s">
        <v>1929</v>
      </c>
      <c r="H1302" s="1" t="s">
        <v>3360</v>
      </c>
      <c r="I1302" s="1" t="s">
        <v>3361</v>
      </c>
      <c r="J1302" s="1" t="s">
        <v>3624</v>
      </c>
      <c r="K1302" s="1" t="n">
        <f aca="false">IF(Search!$D$5="",0,IF(AND(OR(Search!$N$5="",ISNUMBER(SEARCH(Search!$N$5,J1302))),OR(Search!$N$6="",ISNUMBER(SEARCH(Search!$N$6,J1302))),OR(Search!$N$7="",ISNUMBER(SEARCH(Search!$N$7,J1302))),OR(Search!$N$8="",ISNUMBER(SEARCH(Search!$N$8,J1302)))),1,0))</f>
        <v>0</v>
      </c>
      <c r="L1302" s="1" t="n">
        <f aca="false">L1301+K1302</f>
        <v>0</v>
      </c>
    </row>
    <row r="1303" customFormat="false" ht="15" hidden="false" customHeight="true" outlineLevel="0" collapsed="false">
      <c r="A1303" s="1" t="s">
        <v>303</v>
      </c>
      <c r="B1303" s="1" t="s">
        <v>1221</v>
      </c>
      <c r="C1303" s="1" t="n">
        <v>120</v>
      </c>
      <c r="E1303" s="1" t="s">
        <v>408</v>
      </c>
      <c r="F1303" s="1" t="s">
        <v>712</v>
      </c>
      <c r="G1303" s="1" t="s">
        <v>627</v>
      </c>
      <c r="H1303" s="1" t="s">
        <v>3363</v>
      </c>
      <c r="I1303" s="1" t="s">
        <v>3364</v>
      </c>
      <c r="J1303" s="1" t="s">
        <v>3625</v>
      </c>
      <c r="K1303" s="1" t="n">
        <f aca="false">IF(Search!$D$5="",0,IF(AND(OR(Search!$N$5="",ISNUMBER(SEARCH(Search!$N$5,J1303))),OR(Search!$N$6="",ISNUMBER(SEARCH(Search!$N$6,J1303))),OR(Search!$N$7="",ISNUMBER(SEARCH(Search!$N$7,J1303))),OR(Search!$N$8="",ISNUMBER(SEARCH(Search!$N$8,J1303)))),1,0))</f>
        <v>0</v>
      </c>
      <c r="L1303" s="1" t="n">
        <f aca="false">L1302+K1303</f>
        <v>0</v>
      </c>
    </row>
    <row r="1304" customFormat="false" ht="15" hidden="false" customHeight="true" outlineLevel="0" collapsed="false">
      <c r="A1304" s="1" t="s">
        <v>303</v>
      </c>
      <c r="B1304" s="1" t="s">
        <v>1221</v>
      </c>
      <c r="C1304" s="1" t="n">
        <v>121</v>
      </c>
      <c r="E1304" s="1" t="s">
        <v>408</v>
      </c>
      <c r="F1304" s="1" t="s">
        <v>712</v>
      </c>
      <c r="G1304" s="1" t="s">
        <v>2081</v>
      </c>
      <c r="H1304" s="1" t="s">
        <v>3366</v>
      </c>
      <c r="I1304" s="1" t="s">
        <v>3367</v>
      </c>
      <c r="J1304" s="1" t="s">
        <v>3626</v>
      </c>
      <c r="K1304" s="1" t="n">
        <f aca="false">IF(Search!$D$5="",0,IF(AND(OR(Search!$N$5="",ISNUMBER(SEARCH(Search!$N$5,J1304))),OR(Search!$N$6="",ISNUMBER(SEARCH(Search!$N$6,J1304))),OR(Search!$N$7="",ISNUMBER(SEARCH(Search!$N$7,J1304))),OR(Search!$N$8="",ISNUMBER(SEARCH(Search!$N$8,J1304)))),1,0))</f>
        <v>0</v>
      </c>
      <c r="L1304" s="1" t="n">
        <f aca="false">L1303+K1304</f>
        <v>0</v>
      </c>
    </row>
    <row r="1305" customFormat="false" ht="15" hidden="false" customHeight="true" outlineLevel="0" collapsed="false">
      <c r="A1305" s="1" t="s">
        <v>303</v>
      </c>
      <c r="B1305" s="1" t="s">
        <v>1221</v>
      </c>
      <c r="C1305" s="1" t="n">
        <v>122</v>
      </c>
      <c r="E1305" s="1" t="s">
        <v>408</v>
      </c>
      <c r="F1305" s="1" t="s">
        <v>712</v>
      </c>
      <c r="G1305" s="1" t="s">
        <v>580</v>
      </c>
      <c r="H1305" s="1" t="s">
        <v>755</v>
      </c>
      <c r="I1305" s="1" t="s">
        <v>3369</v>
      </c>
      <c r="J1305" s="1" t="s">
        <v>3627</v>
      </c>
      <c r="K1305" s="1" t="n">
        <f aca="false">IF(Search!$D$5="",0,IF(AND(OR(Search!$N$5="",ISNUMBER(SEARCH(Search!$N$5,J1305))),OR(Search!$N$6="",ISNUMBER(SEARCH(Search!$N$6,J1305))),OR(Search!$N$7="",ISNUMBER(SEARCH(Search!$N$7,J1305))),OR(Search!$N$8="",ISNUMBER(SEARCH(Search!$N$8,J1305)))),1,0))</f>
        <v>0</v>
      </c>
      <c r="L1305" s="1" t="n">
        <f aca="false">L1304+K1305</f>
        <v>0</v>
      </c>
    </row>
    <row r="1306" customFormat="false" ht="15" hidden="false" customHeight="true" outlineLevel="0" collapsed="false">
      <c r="A1306" s="1" t="s">
        <v>303</v>
      </c>
      <c r="B1306" s="1" t="s">
        <v>1221</v>
      </c>
      <c r="C1306" s="1" t="n">
        <v>123</v>
      </c>
      <c r="E1306" s="1" t="s">
        <v>3628</v>
      </c>
      <c r="F1306" s="1" t="s">
        <v>3629</v>
      </c>
      <c r="G1306" s="1" t="s">
        <v>1929</v>
      </c>
      <c r="H1306" s="1" t="s">
        <v>3372</v>
      </c>
      <c r="I1306" s="1" t="s">
        <v>3373</v>
      </c>
      <c r="J1306" s="1" t="s">
        <v>3630</v>
      </c>
      <c r="K1306" s="1" t="n">
        <f aca="false">IF(Search!$D$5="",0,IF(AND(OR(Search!$N$5="",ISNUMBER(SEARCH(Search!$N$5,J1306))),OR(Search!$N$6="",ISNUMBER(SEARCH(Search!$N$6,J1306))),OR(Search!$N$7="",ISNUMBER(SEARCH(Search!$N$7,J1306))),OR(Search!$N$8="",ISNUMBER(SEARCH(Search!$N$8,J1306)))),1,0))</f>
        <v>0</v>
      </c>
      <c r="L1306" s="1" t="n">
        <f aca="false">L1305+K1306</f>
        <v>0</v>
      </c>
    </row>
    <row r="1307" customFormat="false" ht="15" hidden="false" customHeight="true" outlineLevel="0" collapsed="false">
      <c r="A1307" s="1" t="s">
        <v>303</v>
      </c>
      <c r="B1307" s="1" t="s">
        <v>1221</v>
      </c>
      <c r="C1307" s="1" t="n">
        <v>124</v>
      </c>
      <c r="E1307" s="1" t="s">
        <v>408</v>
      </c>
      <c r="F1307" s="1" t="s">
        <v>729</v>
      </c>
      <c r="G1307" s="1" t="s">
        <v>627</v>
      </c>
      <c r="H1307" s="1" t="s">
        <v>3375</v>
      </c>
      <c r="I1307" s="1" t="s">
        <v>3376</v>
      </c>
      <c r="J1307" s="1" t="s">
        <v>3631</v>
      </c>
      <c r="K1307" s="1" t="n">
        <f aca="false">IF(Search!$D$5="",0,IF(AND(OR(Search!$N$5="",ISNUMBER(SEARCH(Search!$N$5,J1307))),OR(Search!$N$6="",ISNUMBER(SEARCH(Search!$N$6,J1307))),OR(Search!$N$7="",ISNUMBER(SEARCH(Search!$N$7,J1307))),OR(Search!$N$8="",ISNUMBER(SEARCH(Search!$N$8,J1307)))),1,0))</f>
        <v>0</v>
      </c>
      <c r="L1307" s="1" t="n">
        <f aca="false">L1306+K1307</f>
        <v>0</v>
      </c>
    </row>
    <row r="1308" customFormat="false" ht="15" hidden="false" customHeight="true" outlineLevel="0" collapsed="false">
      <c r="A1308" s="1" t="s">
        <v>303</v>
      </c>
      <c r="B1308" s="1" t="s">
        <v>1221</v>
      </c>
      <c r="C1308" s="1" t="n">
        <v>125</v>
      </c>
      <c r="E1308" s="1" t="s">
        <v>408</v>
      </c>
      <c r="F1308" s="1" t="s">
        <v>729</v>
      </c>
      <c r="G1308" s="1" t="s">
        <v>2081</v>
      </c>
      <c r="H1308" s="1" t="s">
        <v>3378</v>
      </c>
      <c r="I1308" s="1" t="s">
        <v>3379</v>
      </c>
      <c r="J1308" s="1" t="s">
        <v>3632</v>
      </c>
      <c r="K1308" s="1" t="n">
        <f aca="false">IF(Search!$D$5="",0,IF(AND(OR(Search!$N$5="",ISNUMBER(SEARCH(Search!$N$5,J1308))),OR(Search!$N$6="",ISNUMBER(SEARCH(Search!$N$6,J1308))),OR(Search!$N$7="",ISNUMBER(SEARCH(Search!$N$7,J1308))),OR(Search!$N$8="",ISNUMBER(SEARCH(Search!$N$8,J1308)))),1,0))</f>
        <v>0</v>
      </c>
      <c r="L1308" s="1" t="n">
        <f aca="false">L1307+K1308</f>
        <v>0</v>
      </c>
    </row>
    <row r="1309" customFormat="false" ht="15" hidden="false" customHeight="true" outlineLevel="0" collapsed="false">
      <c r="A1309" s="1" t="s">
        <v>303</v>
      </c>
      <c r="B1309" s="1" t="s">
        <v>1221</v>
      </c>
      <c r="C1309" s="1" t="n">
        <v>126</v>
      </c>
      <c r="E1309" s="1" t="s">
        <v>408</v>
      </c>
      <c r="F1309" s="1" t="s">
        <v>729</v>
      </c>
      <c r="G1309" s="1" t="s">
        <v>580</v>
      </c>
      <c r="H1309" s="1" t="s">
        <v>716</v>
      </c>
      <c r="I1309" s="1" t="s">
        <v>3381</v>
      </c>
      <c r="J1309" s="1" t="s">
        <v>3633</v>
      </c>
      <c r="K1309" s="1" t="n">
        <f aca="false">IF(Search!$D$5="",0,IF(AND(OR(Search!$N$5="",ISNUMBER(SEARCH(Search!$N$5,J1309))),OR(Search!$N$6="",ISNUMBER(SEARCH(Search!$N$6,J1309))),OR(Search!$N$7="",ISNUMBER(SEARCH(Search!$N$7,J1309))),OR(Search!$N$8="",ISNUMBER(SEARCH(Search!$N$8,J1309)))),1,0))</f>
        <v>0</v>
      </c>
      <c r="L1309" s="1" t="n">
        <f aca="false">L1308+K1309</f>
        <v>0</v>
      </c>
    </row>
    <row r="1310" customFormat="false" ht="15" hidden="false" customHeight="true" outlineLevel="0" collapsed="false">
      <c r="A1310" s="1" t="s">
        <v>303</v>
      </c>
      <c r="B1310" s="1" t="s">
        <v>1221</v>
      </c>
      <c r="C1310" s="1" t="n">
        <v>129</v>
      </c>
      <c r="E1310" s="1" t="s">
        <v>3383</v>
      </c>
      <c r="J1310" s="1" t="s">
        <v>3383</v>
      </c>
      <c r="K1310" s="1" t="n">
        <f aca="false">IF(Search!$D$5="",0,IF(AND(OR(Search!$N$5="",ISNUMBER(SEARCH(Search!$N$5,J1310))),OR(Search!$N$6="",ISNUMBER(SEARCH(Search!$N$6,J1310))),OR(Search!$N$7="",ISNUMBER(SEARCH(Search!$N$7,J1310))),OR(Search!$N$8="",ISNUMBER(SEARCH(Search!$N$8,J1310)))),1,0))</f>
        <v>0</v>
      </c>
      <c r="L1310" s="1" t="n">
        <f aca="false">L1309+K1310</f>
        <v>0</v>
      </c>
    </row>
    <row r="1311" customFormat="false" ht="15" hidden="false" customHeight="true" outlineLevel="0" collapsed="false">
      <c r="A1311" s="1" t="s">
        <v>303</v>
      </c>
      <c r="B1311" s="1" t="s">
        <v>1221</v>
      </c>
      <c r="C1311" s="1" t="n">
        <v>130</v>
      </c>
      <c r="E1311" s="1" t="s">
        <v>1279</v>
      </c>
      <c r="J1311" s="1" t="s">
        <v>1279</v>
      </c>
      <c r="K1311" s="1" t="n">
        <f aca="false">IF(Search!$D$5="",0,IF(AND(OR(Search!$N$5="",ISNUMBER(SEARCH(Search!$N$5,J1311))),OR(Search!$N$6="",ISNUMBER(SEARCH(Search!$N$6,J1311))),OR(Search!$N$7="",ISNUMBER(SEARCH(Search!$N$7,J1311))),OR(Search!$N$8="",ISNUMBER(SEARCH(Search!$N$8,J1311)))),1,0))</f>
        <v>0</v>
      </c>
      <c r="L1311" s="1" t="n">
        <f aca="false">L1310+K1311</f>
        <v>0</v>
      </c>
    </row>
    <row r="1312" customFormat="false" ht="16.5" hidden="false" customHeight="true" outlineLevel="0" collapsed="false">
      <c r="A1312" s="1" t="s">
        <v>306</v>
      </c>
      <c r="B1312" s="1" t="s">
        <v>1221</v>
      </c>
      <c r="C1312" s="1" t="n">
        <v>2</v>
      </c>
      <c r="E1312" s="1" t="s">
        <v>3634</v>
      </c>
      <c r="J1312" s="1" t="s">
        <v>3634</v>
      </c>
      <c r="K1312" s="1" t="n">
        <f aca="false">IF(Search!$D$5="",0,IF(AND(OR(Search!$N$5="",ISNUMBER(SEARCH(Search!$N$5,J1312))),OR(Search!$N$6="",ISNUMBER(SEARCH(Search!$N$6,J1312))),OR(Search!$N$7="",ISNUMBER(SEARCH(Search!$N$7,J1312))),OR(Search!$N$8="",ISNUMBER(SEARCH(Search!$N$8,J1312)))),1,0))</f>
        <v>0</v>
      </c>
      <c r="L1312" s="1" t="n">
        <f aca="false">L1311+K1312</f>
        <v>0</v>
      </c>
    </row>
    <row r="1313" customFormat="false" ht="15" hidden="false" customHeight="true" outlineLevel="0" collapsed="false">
      <c r="A1313" s="1" t="s">
        <v>306</v>
      </c>
      <c r="B1313" s="1" t="s">
        <v>1221</v>
      </c>
      <c r="C1313" s="1" t="n">
        <v>3</v>
      </c>
      <c r="E1313" s="1" t="s">
        <v>3635</v>
      </c>
      <c r="J1313" s="1" t="s">
        <v>3635</v>
      </c>
      <c r="K1313" s="1" t="n">
        <f aca="false">IF(Search!$D$5="",0,IF(AND(OR(Search!$N$5="",ISNUMBER(SEARCH(Search!$N$5,J1313))),OR(Search!$N$6="",ISNUMBER(SEARCH(Search!$N$6,J1313))),OR(Search!$N$7="",ISNUMBER(SEARCH(Search!$N$7,J1313))),OR(Search!$N$8="",ISNUMBER(SEARCH(Search!$N$8,J1313)))),1,0))</f>
        <v>0</v>
      </c>
      <c r="L1313" s="1" t="n">
        <f aca="false">L1312+K1313</f>
        <v>0</v>
      </c>
    </row>
    <row r="1314" customFormat="false" ht="16.5" hidden="false" customHeight="true" outlineLevel="0" collapsed="false">
      <c r="A1314" s="1" t="s">
        <v>306</v>
      </c>
      <c r="B1314" s="1" t="s">
        <v>1221</v>
      </c>
      <c r="C1314" s="1" t="n">
        <v>5</v>
      </c>
      <c r="E1314" s="1" t="s">
        <v>3636</v>
      </c>
      <c r="J1314" s="1" t="s">
        <v>3636</v>
      </c>
      <c r="K1314" s="1" t="n">
        <f aca="false">IF(Search!$D$5="",0,IF(AND(OR(Search!$N$5="",ISNUMBER(SEARCH(Search!$N$5,J1314))),OR(Search!$N$6="",ISNUMBER(SEARCH(Search!$N$6,J1314))),OR(Search!$N$7="",ISNUMBER(SEARCH(Search!$N$7,J1314))),OR(Search!$N$8="",ISNUMBER(SEARCH(Search!$N$8,J1314)))),1,0))</f>
        <v>0</v>
      </c>
      <c r="L1314" s="1" t="n">
        <f aca="false">L1313+K1314</f>
        <v>0</v>
      </c>
    </row>
    <row r="1315" customFormat="false" ht="54.75" hidden="false" customHeight="true" outlineLevel="0" collapsed="false">
      <c r="A1315" s="1" t="s">
        <v>306</v>
      </c>
      <c r="B1315" s="1" t="s">
        <v>1221</v>
      </c>
      <c r="C1315" s="1" t="n">
        <v>6</v>
      </c>
      <c r="E1315" s="46" t="s">
        <v>3637</v>
      </c>
      <c r="F1315" s="46" t="s">
        <v>3638</v>
      </c>
      <c r="G1315" s="46" t="s">
        <v>1284</v>
      </c>
      <c r="J1315" s="46" t="s">
        <v>3639</v>
      </c>
      <c r="K1315" s="1" t="n">
        <f aca="false">IF(Search!$D$5="",0,IF(AND(OR(Search!$N$5="",ISNUMBER(SEARCH(Search!$N$5,J1315))),OR(Search!$N$6="",ISNUMBER(SEARCH(Search!$N$6,J1315))),OR(Search!$N$7="",ISNUMBER(SEARCH(Search!$N$7,J1315))),OR(Search!$N$8="",ISNUMBER(SEARCH(Search!$N$8,J1315)))),1,0))</f>
        <v>0</v>
      </c>
      <c r="L1315" s="1" t="n">
        <f aca="false">L1314+K1315</f>
        <v>0</v>
      </c>
    </row>
    <row r="1316" customFormat="false" ht="15" hidden="false" customHeight="true" outlineLevel="0" collapsed="false">
      <c r="A1316" s="1" t="s">
        <v>306</v>
      </c>
      <c r="B1316" s="1" t="s">
        <v>1221</v>
      </c>
      <c r="C1316" s="1" t="n">
        <v>7</v>
      </c>
      <c r="E1316" s="1" t="s">
        <v>1838</v>
      </c>
      <c r="F1316" s="1" t="s">
        <v>2620</v>
      </c>
      <c r="G1316" s="1" t="s">
        <v>1288</v>
      </c>
      <c r="J1316" s="1" t="s">
        <v>3640</v>
      </c>
      <c r="K1316" s="1" t="n">
        <f aca="false">IF(Search!$D$5="",0,IF(AND(OR(Search!$N$5="",ISNUMBER(SEARCH(Search!$N$5,J1316))),OR(Search!$N$6="",ISNUMBER(SEARCH(Search!$N$6,J1316))),OR(Search!$N$7="",ISNUMBER(SEARCH(Search!$N$7,J1316))),OR(Search!$N$8="",ISNUMBER(SEARCH(Search!$N$8,J1316)))),1,0))</f>
        <v>0</v>
      </c>
      <c r="L1316" s="1" t="n">
        <f aca="false">L1315+K1316</f>
        <v>0</v>
      </c>
    </row>
    <row r="1317" customFormat="false" ht="15" hidden="false" customHeight="true" outlineLevel="0" collapsed="false">
      <c r="A1317" s="1" t="s">
        <v>306</v>
      </c>
      <c r="B1317" s="1" t="s">
        <v>1221</v>
      </c>
      <c r="C1317" s="1" t="n">
        <v>8</v>
      </c>
      <c r="E1317" s="1" t="s">
        <v>1904</v>
      </c>
      <c r="F1317" s="1" t="s">
        <v>3641</v>
      </c>
      <c r="G1317" s="1" t="s">
        <v>3642</v>
      </c>
      <c r="J1317" s="1" t="s">
        <v>3643</v>
      </c>
      <c r="K1317" s="1" t="n">
        <f aca="false">IF(Search!$D$5="",0,IF(AND(OR(Search!$N$5="",ISNUMBER(SEARCH(Search!$N$5,J1317))),OR(Search!$N$6="",ISNUMBER(SEARCH(Search!$N$6,J1317))),OR(Search!$N$7="",ISNUMBER(SEARCH(Search!$N$7,J1317))),OR(Search!$N$8="",ISNUMBER(SEARCH(Search!$N$8,J1317)))),1,0))</f>
        <v>0</v>
      </c>
      <c r="L1317" s="1" t="n">
        <f aca="false">L1316+K1317</f>
        <v>0</v>
      </c>
    </row>
    <row r="1318" customFormat="false" ht="15" hidden="false" customHeight="true" outlineLevel="0" collapsed="false">
      <c r="A1318" s="1" t="s">
        <v>306</v>
      </c>
      <c r="B1318" s="1" t="s">
        <v>1221</v>
      </c>
      <c r="C1318" s="1" t="n">
        <v>9</v>
      </c>
      <c r="E1318" s="1" t="s">
        <v>1929</v>
      </c>
      <c r="F1318" s="1" t="s">
        <v>2059</v>
      </c>
      <c r="G1318" s="1" t="s">
        <v>1377</v>
      </c>
      <c r="J1318" s="1" t="s">
        <v>3644</v>
      </c>
      <c r="K1318" s="1" t="n">
        <f aca="false">IF(Search!$D$5="",0,IF(AND(OR(Search!$N$5="",ISNUMBER(SEARCH(Search!$N$5,J1318))),OR(Search!$N$6="",ISNUMBER(SEARCH(Search!$N$6,J1318))),OR(Search!$N$7="",ISNUMBER(SEARCH(Search!$N$7,J1318))),OR(Search!$N$8="",ISNUMBER(SEARCH(Search!$N$8,J1318)))),1,0))</f>
        <v>0</v>
      </c>
      <c r="L1318" s="1" t="n">
        <f aca="false">L1317+K1318</f>
        <v>0</v>
      </c>
    </row>
    <row r="1319" customFormat="false" ht="15" hidden="false" customHeight="true" outlineLevel="0" collapsed="false">
      <c r="A1319" s="1" t="s">
        <v>306</v>
      </c>
      <c r="B1319" s="1" t="s">
        <v>1221</v>
      </c>
      <c r="C1319" s="1" t="n">
        <v>10</v>
      </c>
      <c r="E1319" s="1" t="s">
        <v>1975</v>
      </c>
      <c r="F1319" s="1" t="s">
        <v>2717</v>
      </c>
      <c r="G1319" s="1" t="s">
        <v>1358</v>
      </c>
      <c r="J1319" s="1" t="s">
        <v>3645</v>
      </c>
      <c r="K1319" s="1" t="n">
        <f aca="false">IF(Search!$D$5="",0,IF(AND(OR(Search!$N$5="",ISNUMBER(SEARCH(Search!$N$5,J1319))),OR(Search!$N$6="",ISNUMBER(SEARCH(Search!$N$6,J1319))),OR(Search!$N$7="",ISNUMBER(SEARCH(Search!$N$7,J1319))),OR(Search!$N$8="",ISNUMBER(SEARCH(Search!$N$8,J1319)))),1,0))</f>
        <v>0</v>
      </c>
      <c r="L1319" s="1" t="n">
        <f aca="false">L1318+K1319</f>
        <v>0</v>
      </c>
    </row>
    <row r="1320" customFormat="false" ht="15" hidden="false" customHeight="true" outlineLevel="0" collapsed="false">
      <c r="A1320" s="1" t="s">
        <v>306</v>
      </c>
      <c r="B1320" s="1" t="s">
        <v>1221</v>
      </c>
      <c r="C1320" s="1" t="n">
        <v>11</v>
      </c>
      <c r="E1320" s="1" t="s">
        <v>627</v>
      </c>
      <c r="F1320" s="1" t="s">
        <v>3646</v>
      </c>
      <c r="G1320" s="1" t="s">
        <v>1393</v>
      </c>
      <c r="J1320" s="1" t="s">
        <v>3647</v>
      </c>
      <c r="K1320" s="1" t="n">
        <f aca="false">IF(Search!$D$5="",0,IF(AND(OR(Search!$N$5="",ISNUMBER(SEARCH(Search!$N$5,J1320))),OR(Search!$N$6="",ISNUMBER(SEARCH(Search!$N$6,J1320))),OR(Search!$N$7="",ISNUMBER(SEARCH(Search!$N$7,J1320))),OR(Search!$N$8="",ISNUMBER(SEARCH(Search!$N$8,J1320)))),1,0))</f>
        <v>0</v>
      </c>
      <c r="L1320" s="1" t="n">
        <f aca="false">L1319+K1320</f>
        <v>0</v>
      </c>
    </row>
    <row r="1321" customFormat="false" ht="15" hidden="false" customHeight="true" outlineLevel="0" collapsed="false">
      <c r="A1321" s="1" t="s">
        <v>306</v>
      </c>
      <c r="B1321" s="1" t="s">
        <v>1221</v>
      </c>
      <c r="C1321" s="1" t="n">
        <v>12</v>
      </c>
      <c r="E1321" s="1" t="s">
        <v>2015</v>
      </c>
      <c r="F1321" s="1" t="s">
        <v>3648</v>
      </c>
      <c r="G1321" s="1" t="s">
        <v>2769</v>
      </c>
      <c r="J1321" s="1" t="s">
        <v>3649</v>
      </c>
      <c r="K1321" s="1" t="n">
        <f aca="false">IF(Search!$D$5="",0,IF(AND(OR(Search!$N$5="",ISNUMBER(SEARCH(Search!$N$5,J1321))),OR(Search!$N$6="",ISNUMBER(SEARCH(Search!$N$6,J1321))),OR(Search!$N$7="",ISNUMBER(SEARCH(Search!$N$7,J1321))),OR(Search!$N$8="",ISNUMBER(SEARCH(Search!$N$8,J1321)))),1,0))</f>
        <v>0</v>
      </c>
      <c r="L1321" s="1" t="n">
        <f aca="false">L1320+K1321</f>
        <v>0</v>
      </c>
    </row>
    <row r="1322" customFormat="false" ht="15" hidden="false" customHeight="true" outlineLevel="0" collapsed="false">
      <c r="A1322" s="1" t="s">
        <v>306</v>
      </c>
      <c r="B1322" s="1" t="s">
        <v>1221</v>
      </c>
      <c r="C1322" s="1" t="n">
        <v>13</v>
      </c>
      <c r="E1322" s="1" t="s">
        <v>2061</v>
      </c>
      <c r="F1322" s="1" t="s">
        <v>405</v>
      </c>
      <c r="G1322" s="1" t="s">
        <v>1405</v>
      </c>
      <c r="J1322" s="1" t="s">
        <v>3650</v>
      </c>
      <c r="K1322" s="1" t="n">
        <f aca="false">IF(Search!$D$5="",0,IF(AND(OR(Search!$N$5="",ISNUMBER(SEARCH(Search!$N$5,J1322))),OR(Search!$N$6="",ISNUMBER(SEARCH(Search!$N$6,J1322))),OR(Search!$N$7="",ISNUMBER(SEARCH(Search!$N$7,J1322))),OR(Search!$N$8="",ISNUMBER(SEARCH(Search!$N$8,J1322)))),1,0))</f>
        <v>0</v>
      </c>
      <c r="L1322" s="1" t="n">
        <f aca="false">L1321+K1322</f>
        <v>0</v>
      </c>
    </row>
    <row r="1323" customFormat="false" ht="15" hidden="false" customHeight="true" outlineLevel="0" collapsed="false">
      <c r="A1323" s="1" t="s">
        <v>306</v>
      </c>
      <c r="B1323" s="1" t="s">
        <v>1221</v>
      </c>
      <c r="C1323" s="1" t="n">
        <v>14</v>
      </c>
      <c r="E1323" s="1" t="s">
        <v>2081</v>
      </c>
      <c r="F1323" s="1" t="s">
        <v>3651</v>
      </c>
      <c r="G1323" s="1" t="s">
        <v>1520</v>
      </c>
      <c r="J1323" s="1" t="s">
        <v>3652</v>
      </c>
      <c r="K1323" s="1" t="n">
        <f aca="false">IF(Search!$D$5="",0,IF(AND(OR(Search!$N$5="",ISNUMBER(SEARCH(Search!$N$5,J1323))),OR(Search!$N$6="",ISNUMBER(SEARCH(Search!$N$6,J1323))),OR(Search!$N$7="",ISNUMBER(SEARCH(Search!$N$7,J1323))),OR(Search!$N$8="",ISNUMBER(SEARCH(Search!$N$8,J1323)))),1,0))</f>
        <v>0</v>
      </c>
      <c r="L1323" s="1" t="n">
        <f aca="false">L1322+K1323</f>
        <v>0</v>
      </c>
    </row>
    <row r="1324" customFormat="false" ht="15" hidden="false" customHeight="true" outlineLevel="0" collapsed="false">
      <c r="A1324" s="1" t="s">
        <v>306</v>
      </c>
      <c r="B1324" s="1" t="s">
        <v>1221</v>
      </c>
      <c r="C1324" s="1" t="n">
        <v>15</v>
      </c>
      <c r="E1324" s="1" t="s">
        <v>585</v>
      </c>
      <c r="F1324" s="1" t="s">
        <v>3653</v>
      </c>
      <c r="G1324" s="1" t="s">
        <v>3171</v>
      </c>
      <c r="J1324" s="1" t="s">
        <v>3654</v>
      </c>
      <c r="K1324" s="1" t="n">
        <f aca="false">IF(Search!$D$5="",0,IF(AND(OR(Search!$N$5="",ISNUMBER(SEARCH(Search!$N$5,J1324))),OR(Search!$N$6="",ISNUMBER(SEARCH(Search!$N$6,J1324))),OR(Search!$N$7="",ISNUMBER(SEARCH(Search!$N$7,J1324))),OR(Search!$N$8="",ISNUMBER(SEARCH(Search!$N$8,J1324)))),1,0))</f>
        <v>0</v>
      </c>
      <c r="L1324" s="1" t="n">
        <f aca="false">L1323+K1324</f>
        <v>0</v>
      </c>
    </row>
    <row r="1325" customFormat="false" ht="15" hidden="false" customHeight="true" outlineLevel="0" collapsed="false">
      <c r="A1325" s="1" t="s">
        <v>306</v>
      </c>
      <c r="B1325" s="1" t="s">
        <v>1221</v>
      </c>
      <c r="C1325" s="1" t="n">
        <v>16</v>
      </c>
      <c r="E1325" s="1" t="s">
        <v>580</v>
      </c>
      <c r="F1325" s="1" t="s">
        <v>3655</v>
      </c>
      <c r="G1325" s="1" t="s">
        <v>3155</v>
      </c>
      <c r="J1325" s="1" t="s">
        <v>3656</v>
      </c>
      <c r="K1325" s="1" t="n">
        <f aca="false">IF(Search!$D$5="",0,IF(AND(OR(Search!$N$5="",ISNUMBER(SEARCH(Search!$N$5,J1325))),OR(Search!$N$6="",ISNUMBER(SEARCH(Search!$N$6,J1325))),OR(Search!$N$7="",ISNUMBER(SEARCH(Search!$N$7,J1325))),OR(Search!$N$8="",ISNUMBER(SEARCH(Search!$N$8,J1325)))),1,0))</f>
        <v>0</v>
      </c>
      <c r="L1325" s="1" t="n">
        <f aca="false">L1324+K1325</f>
        <v>0</v>
      </c>
    </row>
    <row r="1326" customFormat="false" ht="15" hidden="false" customHeight="true" outlineLevel="0" collapsed="false">
      <c r="A1326" s="1" t="s">
        <v>306</v>
      </c>
      <c r="B1326" s="1" t="s">
        <v>1221</v>
      </c>
      <c r="C1326" s="1" t="n">
        <v>17</v>
      </c>
      <c r="E1326" s="1" t="s">
        <v>587</v>
      </c>
      <c r="F1326" s="1" t="s">
        <v>408</v>
      </c>
      <c r="G1326" s="1" t="s">
        <v>1532</v>
      </c>
      <c r="J1326" s="1" t="s">
        <v>3657</v>
      </c>
      <c r="K1326" s="1" t="n">
        <f aca="false">IF(Search!$D$5="",0,IF(AND(OR(Search!$N$5="",ISNUMBER(SEARCH(Search!$N$5,J1326))),OR(Search!$N$6="",ISNUMBER(SEARCH(Search!$N$6,J1326))),OR(Search!$N$7="",ISNUMBER(SEARCH(Search!$N$7,J1326))),OR(Search!$N$8="",ISNUMBER(SEARCH(Search!$N$8,J1326)))),1,0))</f>
        <v>0</v>
      </c>
      <c r="L1326" s="1" t="n">
        <f aca="false">L1325+K1326</f>
        <v>0</v>
      </c>
    </row>
    <row r="1327" customFormat="false" ht="15" hidden="false" customHeight="true" outlineLevel="0" collapsed="false">
      <c r="A1327" s="1" t="s">
        <v>306</v>
      </c>
      <c r="B1327" s="1" t="s">
        <v>1221</v>
      </c>
      <c r="C1327" s="1" t="n">
        <v>18</v>
      </c>
      <c r="E1327" s="1" t="s">
        <v>579</v>
      </c>
      <c r="F1327" s="1" t="s">
        <v>3658</v>
      </c>
      <c r="G1327" s="1" t="s">
        <v>2702</v>
      </c>
      <c r="J1327" s="1" t="s">
        <v>3659</v>
      </c>
      <c r="K1327" s="1" t="n">
        <f aca="false">IF(Search!$D$5="",0,IF(AND(OR(Search!$N$5="",ISNUMBER(SEARCH(Search!$N$5,J1327))),OR(Search!$N$6="",ISNUMBER(SEARCH(Search!$N$6,J1327))),OR(Search!$N$7="",ISNUMBER(SEARCH(Search!$N$7,J1327))),OR(Search!$N$8="",ISNUMBER(SEARCH(Search!$N$8,J1327)))),1,0))</f>
        <v>0</v>
      </c>
      <c r="L1327" s="1" t="n">
        <f aca="false">L1326+K1327</f>
        <v>0</v>
      </c>
    </row>
    <row r="1328" customFormat="false" ht="15" hidden="false" customHeight="true" outlineLevel="0" collapsed="false">
      <c r="A1328" s="1" t="s">
        <v>306</v>
      </c>
      <c r="B1328" s="1" t="s">
        <v>1221</v>
      </c>
      <c r="C1328" s="1" t="n">
        <v>19</v>
      </c>
      <c r="E1328" s="1" t="s">
        <v>2168</v>
      </c>
      <c r="F1328" s="1" t="s">
        <v>3660</v>
      </c>
      <c r="G1328" s="1" t="s">
        <v>3661</v>
      </c>
      <c r="J1328" s="1" t="s">
        <v>3662</v>
      </c>
      <c r="K1328" s="1" t="n">
        <f aca="false">IF(Search!$D$5="",0,IF(AND(OR(Search!$N$5="",ISNUMBER(SEARCH(Search!$N$5,J1328))),OR(Search!$N$6="",ISNUMBER(SEARCH(Search!$N$6,J1328))),OR(Search!$N$7="",ISNUMBER(SEARCH(Search!$N$7,J1328))),OR(Search!$N$8="",ISNUMBER(SEARCH(Search!$N$8,J1328)))),1,0))</f>
        <v>0</v>
      </c>
      <c r="L1328" s="1" t="n">
        <f aca="false">L1327+K1328</f>
        <v>0</v>
      </c>
    </row>
    <row r="1329" customFormat="false" ht="15" hidden="false" customHeight="true" outlineLevel="0" collapsed="false">
      <c r="A1329" s="1" t="s">
        <v>306</v>
      </c>
      <c r="B1329" s="1" t="s">
        <v>1221</v>
      </c>
      <c r="C1329" s="1" t="n">
        <v>20</v>
      </c>
      <c r="E1329" s="1" t="s">
        <v>2180</v>
      </c>
      <c r="F1329" s="1" t="s">
        <v>3663</v>
      </c>
      <c r="G1329" s="1" t="s">
        <v>3664</v>
      </c>
      <c r="J1329" s="1" t="s">
        <v>3665</v>
      </c>
      <c r="K1329" s="1" t="n">
        <f aca="false">IF(Search!$D$5="",0,IF(AND(OR(Search!$N$5="",ISNUMBER(SEARCH(Search!$N$5,J1329))),OR(Search!$N$6="",ISNUMBER(SEARCH(Search!$N$6,J1329))),OR(Search!$N$7="",ISNUMBER(SEARCH(Search!$N$7,J1329))),OR(Search!$N$8="",ISNUMBER(SEARCH(Search!$N$8,J1329)))),1,0))</f>
        <v>0</v>
      </c>
      <c r="L1329" s="1" t="n">
        <f aca="false">L1328+K1329</f>
        <v>0</v>
      </c>
    </row>
    <row r="1330" customFormat="false" ht="15" hidden="false" customHeight="true" outlineLevel="0" collapsed="false">
      <c r="A1330" s="1" t="s">
        <v>306</v>
      </c>
      <c r="B1330" s="1" t="s">
        <v>1221</v>
      </c>
      <c r="C1330" s="1" t="n">
        <v>21</v>
      </c>
      <c r="E1330" s="1" t="s">
        <v>1959</v>
      </c>
      <c r="F1330" s="1" t="s">
        <v>3666</v>
      </c>
      <c r="G1330" s="1" t="s">
        <v>1595</v>
      </c>
      <c r="J1330" s="1" t="s">
        <v>3667</v>
      </c>
      <c r="K1330" s="1" t="n">
        <f aca="false">IF(Search!$D$5="",0,IF(AND(OR(Search!$N$5="",ISNUMBER(SEARCH(Search!$N$5,J1330))),OR(Search!$N$6="",ISNUMBER(SEARCH(Search!$N$6,J1330))),OR(Search!$N$7="",ISNUMBER(SEARCH(Search!$N$7,J1330))),OR(Search!$N$8="",ISNUMBER(SEARCH(Search!$N$8,J1330)))),1,0))</f>
        <v>0</v>
      </c>
      <c r="L1330" s="1" t="n">
        <f aca="false">L1329+K1330</f>
        <v>0</v>
      </c>
    </row>
    <row r="1331" customFormat="false" ht="15" hidden="false" customHeight="true" outlineLevel="0" collapsed="false">
      <c r="A1331" s="1" t="s">
        <v>306</v>
      </c>
      <c r="B1331" s="1" t="s">
        <v>1221</v>
      </c>
      <c r="C1331" s="1" t="n">
        <v>22</v>
      </c>
      <c r="E1331" s="1" t="s">
        <v>982</v>
      </c>
      <c r="F1331" s="1" t="s">
        <v>3668</v>
      </c>
      <c r="G1331" s="1" t="s">
        <v>1398</v>
      </c>
      <c r="J1331" s="1" t="s">
        <v>3669</v>
      </c>
      <c r="K1331" s="1" t="n">
        <f aca="false">IF(Search!$D$5="",0,IF(AND(OR(Search!$N$5="",ISNUMBER(SEARCH(Search!$N$5,J1331))),OR(Search!$N$6="",ISNUMBER(SEARCH(Search!$N$6,J1331))),OR(Search!$N$7="",ISNUMBER(SEARCH(Search!$N$7,J1331))),OR(Search!$N$8="",ISNUMBER(SEARCH(Search!$N$8,J1331)))),1,0))</f>
        <v>0</v>
      </c>
      <c r="L1331" s="1" t="n">
        <f aca="false">L1330+K1331</f>
        <v>0</v>
      </c>
    </row>
    <row r="1332" customFormat="false" ht="15" hidden="false" customHeight="true" outlineLevel="0" collapsed="false">
      <c r="A1332" s="1" t="s">
        <v>306</v>
      </c>
      <c r="B1332" s="1" t="s">
        <v>1221</v>
      </c>
      <c r="C1332" s="1" t="n">
        <v>23</v>
      </c>
      <c r="E1332" s="1" t="s">
        <v>2187</v>
      </c>
      <c r="F1332" s="1" t="s">
        <v>3670</v>
      </c>
      <c r="G1332" s="1" t="s">
        <v>3671</v>
      </c>
      <c r="J1332" s="1" t="s">
        <v>3672</v>
      </c>
      <c r="K1332" s="1" t="n">
        <f aca="false">IF(Search!$D$5="",0,IF(AND(OR(Search!$N$5="",ISNUMBER(SEARCH(Search!$N$5,J1332))),OR(Search!$N$6="",ISNUMBER(SEARCH(Search!$N$6,J1332))),OR(Search!$N$7="",ISNUMBER(SEARCH(Search!$N$7,J1332))),OR(Search!$N$8="",ISNUMBER(SEARCH(Search!$N$8,J1332)))),1,0))</f>
        <v>0</v>
      </c>
      <c r="L1332" s="1" t="n">
        <f aca="false">L1331+K1332</f>
        <v>0</v>
      </c>
    </row>
    <row r="1333" customFormat="false" ht="15" hidden="false" customHeight="true" outlineLevel="0" collapsed="false">
      <c r="A1333" s="1" t="s">
        <v>306</v>
      </c>
      <c r="B1333" s="1" t="s">
        <v>1221</v>
      </c>
      <c r="C1333" s="1" t="n">
        <v>24</v>
      </c>
      <c r="E1333" s="1" t="s">
        <v>2620</v>
      </c>
      <c r="F1333" s="1" t="s">
        <v>3673</v>
      </c>
      <c r="G1333" s="1" t="s">
        <v>1989</v>
      </c>
      <c r="J1333" s="1" t="s">
        <v>3674</v>
      </c>
      <c r="K1333" s="1" t="n">
        <f aca="false">IF(Search!$D$5="",0,IF(AND(OR(Search!$N$5="",ISNUMBER(SEARCH(Search!$N$5,J1333))),OR(Search!$N$6="",ISNUMBER(SEARCH(Search!$N$6,J1333))),OR(Search!$N$7="",ISNUMBER(SEARCH(Search!$N$7,J1333))),OR(Search!$N$8="",ISNUMBER(SEARCH(Search!$N$8,J1333)))),1,0))</f>
        <v>0</v>
      </c>
      <c r="L1333" s="1" t="n">
        <f aca="false">L1332+K1333</f>
        <v>0</v>
      </c>
    </row>
    <row r="1334" customFormat="false" ht="15" hidden="false" customHeight="true" outlineLevel="0" collapsed="false">
      <c r="A1334" s="1" t="s">
        <v>306</v>
      </c>
      <c r="B1334" s="1" t="s">
        <v>1221</v>
      </c>
      <c r="C1334" s="1" t="n">
        <v>25</v>
      </c>
      <c r="E1334" s="1" t="s">
        <v>3161</v>
      </c>
      <c r="F1334" s="1" t="s">
        <v>3675</v>
      </c>
      <c r="G1334" s="1" t="s">
        <v>3676</v>
      </c>
      <c r="J1334" s="1" t="s">
        <v>3677</v>
      </c>
      <c r="K1334" s="1" t="n">
        <f aca="false">IF(Search!$D$5="",0,IF(AND(OR(Search!$N$5="",ISNUMBER(SEARCH(Search!$N$5,J1334))),OR(Search!$N$6="",ISNUMBER(SEARCH(Search!$N$6,J1334))),OR(Search!$N$7="",ISNUMBER(SEARCH(Search!$N$7,J1334))),OR(Search!$N$8="",ISNUMBER(SEARCH(Search!$N$8,J1334)))),1,0))</f>
        <v>0</v>
      </c>
      <c r="L1334" s="1" t="n">
        <f aca="false">L1333+K1334</f>
        <v>0</v>
      </c>
    </row>
    <row r="1335" customFormat="false" ht="15" hidden="false" customHeight="true" outlineLevel="0" collapsed="false">
      <c r="A1335" s="1" t="s">
        <v>306</v>
      </c>
      <c r="B1335" s="1" t="s">
        <v>1221</v>
      </c>
      <c r="C1335" s="1" t="n">
        <v>26</v>
      </c>
      <c r="E1335" s="1" t="s">
        <v>492</v>
      </c>
      <c r="F1335" s="1" t="s">
        <v>3678</v>
      </c>
      <c r="G1335" s="1" t="s">
        <v>1697</v>
      </c>
      <c r="J1335" s="1" t="s">
        <v>3679</v>
      </c>
      <c r="K1335" s="1" t="n">
        <f aca="false">IF(Search!$D$5="",0,IF(AND(OR(Search!$N$5="",ISNUMBER(SEARCH(Search!$N$5,J1335))),OR(Search!$N$6="",ISNUMBER(SEARCH(Search!$N$6,J1335))),OR(Search!$N$7="",ISNUMBER(SEARCH(Search!$N$7,J1335))),OR(Search!$N$8="",ISNUMBER(SEARCH(Search!$N$8,J1335)))),1,0))</f>
        <v>0</v>
      </c>
      <c r="L1335" s="1" t="n">
        <f aca="false">L1334+K1335</f>
        <v>0</v>
      </c>
    </row>
    <row r="1336" customFormat="false" ht="15" hidden="false" customHeight="true" outlineLevel="0" collapsed="false">
      <c r="A1336" s="1" t="s">
        <v>306</v>
      </c>
      <c r="B1336" s="1" t="s">
        <v>1221</v>
      </c>
      <c r="C1336" s="1" t="n">
        <v>27</v>
      </c>
      <c r="E1336" s="1" t="s">
        <v>3680</v>
      </c>
      <c r="F1336" s="1" t="s">
        <v>3681</v>
      </c>
      <c r="G1336" s="1" t="s">
        <v>3682</v>
      </c>
      <c r="J1336" s="1" t="s">
        <v>3683</v>
      </c>
      <c r="K1336" s="1" t="n">
        <f aca="false">IF(Search!$D$5="",0,IF(AND(OR(Search!$N$5="",ISNUMBER(SEARCH(Search!$N$5,J1336))),OR(Search!$N$6="",ISNUMBER(SEARCH(Search!$N$6,J1336))),OR(Search!$N$7="",ISNUMBER(SEARCH(Search!$N$7,J1336))),OR(Search!$N$8="",ISNUMBER(SEARCH(Search!$N$8,J1336)))),1,0))</f>
        <v>0</v>
      </c>
      <c r="L1336" s="1" t="n">
        <f aca="false">L1335+K1336</f>
        <v>0</v>
      </c>
    </row>
    <row r="1337" customFormat="false" ht="15" hidden="false" customHeight="true" outlineLevel="0" collapsed="false">
      <c r="A1337" s="1" t="s">
        <v>306</v>
      </c>
      <c r="B1337" s="1" t="s">
        <v>1221</v>
      </c>
      <c r="C1337" s="1" t="n">
        <v>28</v>
      </c>
      <c r="E1337" s="1" t="s">
        <v>2391</v>
      </c>
      <c r="F1337" s="1" t="s">
        <v>3684</v>
      </c>
      <c r="G1337" s="1" t="s">
        <v>3685</v>
      </c>
      <c r="J1337" s="1" t="s">
        <v>3686</v>
      </c>
      <c r="K1337" s="1" t="n">
        <f aca="false">IF(Search!$D$5="",0,IF(AND(OR(Search!$N$5="",ISNUMBER(SEARCH(Search!$N$5,J1337))),OR(Search!$N$6="",ISNUMBER(SEARCH(Search!$N$6,J1337))),OR(Search!$N$7="",ISNUMBER(SEARCH(Search!$N$7,J1337))),OR(Search!$N$8="",ISNUMBER(SEARCH(Search!$N$8,J1337)))),1,0))</f>
        <v>0</v>
      </c>
      <c r="L1337" s="1" t="n">
        <f aca="false">L1336+K1337</f>
        <v>0</v>
      </c>
    </row>
    <row r="1338" customFormat="false" ht="15" hidden="false" customHeight="true" outlineLevel="0" collapsed="false">
      <c r="A1338" s="1" t="s">
        <v>306</v>
      </c>
      <c r="B1338" s="1" t="s">
        <v>1221</v>
      </c>
      <c r="C1338" s="1" t="n">
        <v>29</v>
      </c>
      <c r="E1338" s="1" t="s">
        <v>2699</v>
      </c>
      <c r="F1338" s="1" t="s">
        <v>3687</v>
      </c>
      <c r="G1338" s="1" t="s">
        <v>3688</v>
      </c>
      <c r="J1338" s="1" t="s">
        <v>3689</v>
      </c>
      <c r="K1338" s="1" t="n">
        <f aca="false">IF(Search!$D$5="",0,IF(AND(OR(Search!$N$5="",ISNUMBER(SEARCH(Search!$N$5,J1338))),OR(Search!$N$6="",ISNUMBER(SEARCH(Search!$N$6,J1338))),OR(Search!$N$7="",ISNUMBER(SEARCH(Search!$N$7,J1338))),OR(Search!$N$8="",ISNUMBER(SEARCH(Search!$N$8,J1338)))),1,0))</f>
        <v>0</v>
      </c>
      <c r="L1338" s="1" t="n">
        <f aca="false">L1337+K1338</f>
        <v>0</v>
      </c>
    </row>
    <row r="1339" customFormat="false" ht="15" hidden="false" customHeight="true" outlineLevel="0" collapsed="false">
      <c r="A1339" s="1" t="s">
        <v>306</v>
      </c>
      <c r="B1339" s="1" t="s">
        <v>1221</v>
      </c>
      <c r="C1339" s="1" t="n">
        <v>30</v>
      </c>
      <c r="E1339" s="1" t="s">
        <v>2820</v>
      </c>
      <c r="F1339" s="1" t="s">
        <v>3690</v>
      </c>
      <c r="G1339" s="1" t="s">
        <v>3691</v>
      </c>
      <c r="J1339" s="1" t="s">
        <v>3692</v>
      </c>
      <c r="K1339" s="1" t="n">
        <f aca="false">IF(Search!$D$5="",0,IF(AND(OR(Search!$N$5="",ISNUMBER(SEARCH(Search!$N$5,J1339))),OR(Search!$N$6="",ISNUMBER(SEARCH(Search!$N$6,J1339))),OR(Search!$N$7="",ISNUMBER(SEARCH(Search!$N$7,J1339))),OR(Search!$N$8="",ISNUMBER(SEARCH(Search!$N$8,J1339)))),1,0))</f>
        <v>0</v>
      </c>
      <c r="L1339" s="1" t="n">
        <f aca="false">L1338+K1339</f>
        <v>0</v>
      </c>
    </row>
    <row r="1340" customFormat="false" ht="15" hidden="false" customHeight="true" outlineLevel="0" collapsed="false">
      <c r="A1340" s="1" t="s">
        <v>306</v>
      </c>
      <c r="B1340" s="1" t="s">
        <v>1221</v>
      </c>
      <c r="C1340" s="1" t="n">
        <v>31</v>
      </c>
      <c r="E1340" s="1" t="s">
        <v>3220</v>
      </c>
      <c r="F1340" s="1" t="s">
        <v>3693</v>
      </c>
      <c r="G1340" s="1" t="s">
        <v>1491</v>
      </c>
      <c r="J1340" s="1" t="s">
        <v>3694</v>
      </c>
      <c r="K1340" s="1" t="n">
        <f aca="false">IF(Search!$D$5="",0,IF(AND(OR(Search!$N$5="",ISNUMBER(SEARCH(Search!$N$5,J1340))),OR(Search!$N$6="",ISNUMBER(SEARCH(Search!$N$6,J1340))),OR(Search!$N$7="",ISNUMBER(SEARCH(Search!$N$7,J1340))),OR(Search!$N$8="",ISNUMBER(SEARCH(Search!$N$8,J1340)))),1,0))</f>
        <v>0</v>
      </c>
      <c r="L1340" s="1" t="n">
        <f aca="false">L1339+K1340</f>
        <v>0</v>
      </c>
    </row>
    <row r="1341" customFormat="false" ht="15" hidden="false" customHeight="true" outlineLevel="0" collapsed="false">
      <c r="A1341" s="1" t="s">
        <v>306</v>
      </c>
      <c r="B1341" s="1" t="s">
        <v>1221</v>
      </c>
      <c r="C1341" s="1" t="n">
        <v>32</v>
      </c>
      <c r="E1341" s="1" t="s">
        <v>2704</v>
      </c>
      <c r="F1341" s="1" t="s">
        <v>3695</v>
      </c>
      <c r="G1341" s="1" t="s">
        <v>2770</v>
      </c>
      <c r="J1341" s="1" t="s">
        <v>3696</v>
      </c>
      <c r="K1341" s="1" t="n">
        <f aca="false">IF(Search!$D$5="",0,IF(AND(OR(Search!$N$5="",ISNUMBER(SEARCH(Search!$N$5,J1341))),OR(Search!$N$6="",ISNUMBER(SEARCH(Search!$N$6,J1341))),OR(Search!$N$7="",ISNUMBER(SEARCH(Search!$N$7,J1341))),OR(Search!$N$8="",ISNUMBER(SEARCH(Search!$N$8,J1341)))),1,0))</f>
        <v>0</v>
      </c>
      <c r="L1341" s="1" t="n">
        <f aca="false">L1340+K1341</f>
        <v>0</v>
      </c>
    </row>
    <row r="1342" customFormat="false" ht="15" hidden="false" customHeight="true" outlineLevel="0" collapsed="false">
      <c r="A1342" s="1" t="s">
        <v>306</v>
      </c>
      <c r="B1342" s="1" t="s">
        <v>1221</v>
      </c>
      <c r="C1342" s="1" t="n">
        <v>33</v>
      </c>
      <c r="E1342" s="1" t="s">
        <v>780</v>
      </c>
      <c r="F1342" s="1" t="s">
        <v>3697</v>
      </c>
      <c r="G1342" s="1" t="s">
        <v>3698</v>
      </c>
      <c r="J1342" s="1" t="s">
        <v>3699</v>
      </c>
      <c r="K1342" s="1" t="n">
        <f aca="false">IF(Search!$D$5="",0,IF(AND(OR(Search!$N$5="",ISNUMBER(SEARCH(Search!$N$5,J1342))),OR(Search!$N$6="",ISNUMBER(SEARCH(Search!$N$6,J1342))),OR(Search!$N$7="",ISNUMBER(SEARCH(Search!$N$7,J1342))),OR(Search!$N$8="",ISNUMBER(SEARCH(Search!$N$8,J1342)))),1,0))</f>
        <v>0</v>
      </c>
      <c r="L1342" s="1" t="n">
        <f aca="false">L1341+K1342</f>
        <v>0</v>
      </c>
    </row>
    <row r="1343" customFormat="false" ht="15" hidden="false" customHeight="true" outlineLevel="0" collapsed="false">
      <c r="A1343" s="1" t="s">
        <v>306</v>
      </c>
      <c r="B1343" s="1" t="s">
        <v>1221</v>
      </c>
      <c r="C1343" s="1" t="n">
        <v>34</v>
      </c>
      <c r="E1343" s="1" t="s">
        <v>3241</v>
      </c>
      <c r="F1343" s="1" t="s">
        <v>3700</v>
      </c>
      <c r="G1343" s="1" t="s">
        <v>3701</v>
      </c>
      <c r="J1343" s="1" t="s">
        <v>3702</v>
      </c>
      <c r="K1343" s="1" t="n">
        <f aca="false">IF(Search!$D$5="",0,IF(AND(OR(Search!$N$5="",ISNUMBER(SEARCH(Search!$N$5,J1343))),OR(Search!$N$6="",ISNUMBER(SEARCH(Search!$N$6,J1343))),OR(Search!$N$7="",ISNUMBER(SEARCH(Search!$N$7,J1343))),OR(Search!$N$8="",ISNUMBER(SEARCH(Search!$N$8,J1343)))),1,0))</f>
        <v>0</v>
      </c>
      <c r="L1343" s="1" t="n">
        <f aca="false">L1342+K1343</f>
        <v>0</v>
      </c>
    </row>
    <row r="1344" customFormat="false" ht="15" hidden="false" customHeight="true" outlineLevel="0" collapsed="false">
      <c r="A1344" s="1" t="s">
        <v>306</v>
      </c>
      <c r="B1344" s="1" t="s">
        <v>1221</v>
      </c>
      <c r="C1344" s="1" t="n">
        <v>35</v>
      </c>
      <c r="E1344" s="1" t="s">
        <v>2710</v>
      </c>
      <c r="F1344" s="1" t="s">
        <v>3703</v>
      </c>
      <c r="G1344" s="1" t="s">
        <v>3704</v>
      </c>
      <c r="J1344" s="1" t="s">
        <v>3705</v>
      </c>
      <c r="K1344" s="1" t="n">
        <f aca="false">IF(Search!$D$5="",0,IF(AND(OR(Search!$N$5="",ISNUMBER(SEARCH(Search!$N$5,J1344))),OR(Search!$N$6="",ISNUMBER(SEARCH(Search!$N$6,J1344))),OR(Search!$N$7="",ISNUMBER(SEARCH(Search!$N$7,J1344))),OR(Search!$N$8="",ISNUMBER(SEARCH(Search!$N$8,J1344)))),1,0))</f>
        <v>0</v>
      </c>
      <c r="L1344" s="1" t="n">
        <f aca="false">L1343+K1344</f>
        <v>0</v>
      </c>
    </row>
    <row r="1345" customFormat="false" ht="15" hidden="false" customHeight="true" outlineLevel="0" collapsed="false">
      <c r="A1345" s="1" t="s">
        <v>306</v>
      </c>
      <c r="B1345" s="1" t="s">
        <v>1221</v>
      </c>
      <c r="C1345" s="1" t="n">
        <v>36</v>
      </c>
      <c r="E1345" s="1" t="s">
        <v>3706</v>
      </c>
      <c r="F1345" s="1" t="s">
        <v>3707</v>
      </c>
      <c r="G1345" s="1" t="s">
        <v>3708</v>
      </c>
      <c r="J1345" s="1" t="s">
        <v>3709</v>
      </c>
      <c r="K1345" s="1" t="n">
        <f aca="false">IF(Search!$D$5="",0,IF(AND(OR(Search!$N$5="",ISNUMBER(SEARCH(Search!$N$5,J1345))),OR(Search!$N$6="",ISNUMBER(SEARCH(Search!$N$6,J1345))),OR(Search!$N$7="",ISNUMBER(SEARCH(Search!$N$7,J1345))),OR(Search!$N$8="",ISNUMBER(SEARCH(Search!$N$8,J1345)))),1,0))</f>
        <v>0</v>
      </c>
      <c r="L1345" s="1" t="n">
        <f aca="false">L1344+K1345</f>
        <v>0</v>
      </c>
    </row>
    <row r="1346" customFormat="false" ht="15" hidden="false" customHeight="true" outlineLevel="0" collapsed="false">
      <c r="A1346" s="1" t="s">
        <v>306</v>
      </c>
      <c r="B1346" s="1" t="s">
        <v>1221</v>
      </c>
      <c r="C1346" s="1" t="n">
        <v>37</v>
      </c>
      <c r="E1346" s="1" t="s">
        <v>2062</v>
      </c>
      <c r="F1346" s="1" t="s">
        <v>3710</v>
      </c>
      <c r="G1346" s="1" t="s">
        <v>1604</v>
      </c>
      <c r="J1346" s="1" t="s">
        <v>3711</v>
      </c>
      <c r="K1346" s="1" t="n">
        <f aca="false">IF(Search!$D$5="",0,IF(AND(OR(Search!$N$5="",ISNUMBER(SEARCH(Search!$N$5,J1346))),OR(Search!$N$6="",ISNUMBER(SEARCH(Search!$N$6,J1346))),OR(Search!$N$7="",ISNUMBER(SEARCH(Search!$N$7,J1346))),OR(Search!$N$8="",ISNUMBER(SEARCH(Search!$N$8,J1346)))),1,0))</f>
        <v>0</v>
      </c>
      <c r="L1346" s="1" t="n">
        <f aca="false">L1345+K1346</f>
        <v>0</v>
      </c>
    </row>
    <row r="1347" customFormat="false" ht="15" hidden="false" customHeight="true" outlineLevel="0" collapsed="false">
      <c r="A1347" s="1" t="s">
        <v>306</v>
      </c>
      <c r="B1347" s="1" t="s">
        <v>1221</v>
      </c>
      <c r="C1347" s="1" t="n">
        <v>38</v>
      </c>
      <c r="E1347" s="1" t="s">
        <v>3712</v>
      </c>
      <c r="F1347" s="1" t="s">
        <v>3713</v>
      </c>
      <c r="G1347" s="1" t="s">
        <v>3714</v>
      </c>
      <c r="J1347" s="1" t="s">
        <v>3715</v>
      </c>
      <c r="K1347" s="1" t="n">
        <f aca="false">IF(Search!$D$5="",0,IF(AND(OR(Search!$N$5="",ISNUMBER(SEARCH(Search!$N$5,J1347))),OR(Search!$N$6="",ISNUMBER(SEARCH(Search!$N$6,J1347))),OR(Search!$N$7="",ISNUMBER(SEARCH(Search!$N$7,J1347))),OR(Search!$N$8="",ISNUMBER(SEARCH(Search!$N$8,J1347)))),1,0))</f>
        <v>0</v>
      </c>
      <c r="L1347" s="1" t="n">
        <f aca="false">L1346+K1347</f>
        <v>0</v>
      </c>
    </row>
    <row r="1348" customFormat="false" ht="15" hidden="false" customHeight="true" outlineLevel="0" collapsed="false">
      <c r="A1348" s="1" t="s">
        <v>306</v>
      </c>
      <c r="B1348" s="1" t="s">
        <v>1221</v>
      </c>
      <c r="C1348" s="1" t="n">
        <v>39</v>
      </c>
      <c r="E1348" s="1" t="s">
        <v>2717</v>
      </c>
      <c r="F1348" s="1" t="s">
        <v>3716</v>
      </c>
      <c r="G1348" s="1" t="s">
        <v>3717</v>
      </c>
      <c r="J1348" s="1" t="s">
        <v>3718</v>
      </c>
      <c r="K1348" s="1" t="n">
        <f aca="false">IF(Search!$D$5="",0,IF(AND(OR(Search!$N$5="",ISNUMBER(SEARCH(Search!$N$5,J1348))),OR(Search!$N$6="",ISNUMBER(SEARCH(Search!$N$6,J1348))),OR(Search!$N$7="",ISNUMBER(SEARCH(Search!$N$7,J1348))),OR(Search!$N$8="",ISNUMBER(SEARCH(Search!$N$8,J1348)))),1,0))</f>
        <v>0</v>
      </c>
      <c r="L1348" s="1" t="n">
        <f aca="false">L1347+K1348</f>
        <v>0</v>
      </c>
    </row>
    <row r="1349" customFormat="false" ht="15" hidden="false" customHeight="true" outlineLevel="0" collapsed="false">
      <c r="A1349" s="1" t="s">
        <v>306</v>
      </c>
      <c r="B1349" s="1" t="s">
        <v>1221</v>
      </c>
      <c r="C1349" s="1" t="n">
        <v>40</v>
      </c>
      <c r="E1349" s="1" t="s">
        <v>736</v>
      </c>
      <c r="F1349" s="1" t="s">
        <v>3719</v>
      </c>
      <c r="G1349" s="1" t="s">
        <v>3712</v>
      </c>
      <c r="J1349" s="1" t="s">
        <v>3720</v>
      </c>
      <c r="K1349" s="1" t="n">
        <f aca="false">IF(Search!$D$5="",0,IF(AND(OR(Search!$N$5="",ISNUMBER(SEARCH(Search!$N$5,J1349))),OR(Search!$N$6="",ISNUMBER(SEARCH(Search!$N$6,J1349))),OR(Search!$N$7="",ISNUMBER(SEARCH(Search!$N$7,J1349))),OR(Search!$N$8="",ISNUMBER(SEARCH(Search!$N$8,J1349)))),1,0))</f>
        <v>0</v>
      </c>
      <c r="L1349" s="1" t="n">
        <f aca="false">L1348+K1349</f>
        <v>0</v>
      </c>
    </row>
    <row r="1350" customFormat="false" ht="15" hidden="false" customHeight="true" outlineLevel="0" collapsed="false">
      <c r="A1350" s="1" t="s">
        <v>306</v>
      </c>
      <c r="B1350" s="1" t="s">
        <v>1221</v>
      </c>
      <c r="C1350" s="1" t="n">
        <v>41</v>
      </c>
      <c r="E1350" s="1" t="s">
        <v>3721</v>
      </c>
      <c r="F1350" s="1" t="s">
        <v>3722</v>
      </c>
      <c r="G1350" s="1" t="s">
        <v>2795</v>
      </c>
      <c r="J1350" s="1" t="s">
        <v>3723</v>
      </c>
      <c r="K1350" s="1" t="n">
        <f aca="false">IF(Search!$D$5="",0,IF(AND(OR(Search!$N$5="",ISNUMBER(SEARCH(Search!$N$5,J1350))),OR(Search!$N$6="",ISNUMBER(SEARCH(Search!$N$6,J1350))),OR(Search!$N$7="",ISNUMBER(SEARCH(Search!$N$7,J1350))),OR(Search!$N$8="",ISNUMBER(SEARCH(Search!$N$8,J1350)))),1,0))</f>
        <v>0</v>
      </c>
      <c r="L1350" s="1" t="n">
        <f aca="false">L1349+K1350</f>
        <v>0</v>
      </c>
    </row>
    <row r="1351" customFormat="false" ht="15" hidden="false" customHeight="true" outlineLevel="0" collapsed="false">
      <c r="A1351" s="1" t="s">
        <v>306</v>
      </c>
      <c r="B1351" s="1" t="s">
        <v>1221</v>
      </c>
      <c r="C1351" s="1" t="n">
        <v>42</v>
      </c>
      <c r="E1351" s="1" t="s">
        <v>3724</v>
      </c>
      <c r="F1351" s="1" t="s">
        <v>3725</v>
      </c>
      <c r="G1351" s="1" t="s">
        <v>3726</v>
      </c>
      <c r="J1351" s="1" t="s">
        <v>3727</v>
      </c>
      <c r="K1351" s="1" t="n">
        <f aca="false">IF(Search!$D$5="",0,IF(AND(OR(Search!$N$5="",ISNUMBER(SEARCH(Search!$N$5,J1351))),OR(Search!$N$6="",ISNUMBER(SEARCH(Search!$N$6,J1351))),OR(Search!$N$7="",ISNUMBER(SEARCH(Search!$N$7,J1351))),OR(Search!$N$8="",ISNUMBER(SEARCH(Search!$N$8,J1351)))),1,0))</f>
        <v>0</v>
      </c>
      <c r="L1351" s="1" t="n">
        <f aca="false">L1350+K1351</f>
        <v>0</v>
      </c>
    </row>
    <row r="1352" customFormat="false" ht="15" hidden="false" customHeight="true" outlineLevel="0" collapsed="false">
      <c r="A1352" s="1" t="s">
        <v>306</v>
      </c>
      <c r="B1352" s="1" t="s">
        <v>1221</v>
      </c>
      <c r="C1352" s="1" t="n">
        <v>43</v>
      </c>
      <c r="E1352" s="1" t="s">
        <v>2895</v>
      </c>
      <c r="F1352" s="1" t="s">
        <v>3728</v>
      </c>
      <c r="G1352" s="1" t="s">
        <v>3729</v>
      </c>
      <c r="J1352" s="1" t="s">
        <v>3730</v>
      </c>
      <c r="K1352" s="1" t="n">
        <f aca="false">IF(Search!$D$5="",0,IF(AND(OR(Search!$N$5="",ISNUMBER(SEARCH(Search!$N$5,J1352))),OR(Search!$N$6="",ISNUMBER(SEARCH(Search!$N$6,J1352))),OR(Search!$N$7="",ISNUMBER(SEARCH(Search!$N$7,J1352))),OR(Search!$N$8="",ISNUMBER(SEARCH(Search!$N$8,J1352)))),1,0))</f>
        <v>0</v>
      </c>
      <c r="L1352" s="1" t="n">
        <f aca="false">L1351+K1352</f>
        <v>0</v>
      </c>
    </row>
    <row r="1353" customFormat="false" ht="15" hidden="false" customHeight="true" outlineLevel="0" collapsed="false">
      <c r="A1353" s="1" t="s">
        <v>306</v>
      </c>
      <c r="B1353" s="1" t="s">
        <v>1221</v>
      </c>
      <c r="C1353" s="1" t="n">
        <v>44</v>
      </c>
      <c r="E1353" s="1" t="s">
        <v>2723</v>
      </c>
      <c r="F1353" s="1" t="s">
        <v>3731</v>
      </c>
      <c r="G1353" s="1" t="s">
        <v>3732</v>
      </c>
      <c r="J1353" s="1" t="s">
        <v>3733</v>
      </c>
      <c r="K1353" s="1" t="n">
        <f aca="false">IF(Search!$D$5="",0,IF(AND(OR(Search!$N$5="",ISNUMBER(SEARCH(Search!$N$5,J1353))),OR(Search!$N$6="",ISNUMBER(SEARCH(Search!$N$6,J1353))),OR(Search!$N$7="",ISNUMBER(SEARCH(Search!$N$7,J1353))),OR(Search!$N$8="",ISNUMBER(SEARCH(Search!$N$8,J1353)))),1,0))</f>
        <v>0</v>
      </c>
      <c r="L1353" s="1" t="n">
        <f aca="false">L1352+K1353</f>
        <v>0</v>
      </c>
    </row>
    <row r="1354" customFormat="false" ht="15" hidden="false" customHeight="true" outlineLevel="0" collapsed="false">
      <c r="A1354" s="1" t="s">
        <v>306</v>
      </c>
      <c r="B1354" s="1" t="s">
        <v>1221</v>
      </c>
      <c r="C1354" s="1" t="n">
        <v>45</v>
      </c>
      <c r="E1354" s="1" t="s">
        <v>754</v>
      </c>
      <c r="F1354" s="1" t="s">
        <v>3734</v>
      </c>
      <c r="G1354" s="1" t="s">
        <v>3735</v>
      </c>
      <c r="J1354" s="1" t="s">
        <v>3736</v>
      </c>
      <c r="K1354" s="1" t="n">
        <f aca="false">IF(Search!$D$5="",0,IF(AND(OR(Search!$N$5="",ISNUMBER(SEARCH(Search!$N$5,J1354))),OR(Search!$N$6="",ISNUMBER(SEARCH(Search!$N$6,J1354))),OR(Search!$N$7="",ISNUMBER(SEARCH(Search!$N$7,J1354))),OR(Search!$N$8="",ISNUMBER(SEARCH(Search!$N$8,J1354)))),1,0))</f>
        <v>0</v>
      </c>
      <c r="L1354" s="1" t="n">
        <f aca="false">L1353+K1354</f>
        <v>0</v>
      </c>
    </row>
    <row r="1355" customFormat="false" ht="16.5" hidden="false" customHeight="true" outlineLevel="0" collapsed="false">
      <c r="A1355" s="1" t="s">
        <v>306</v>
      </c>
      <c r="B1355" s="1" t="s">
        <v>1221</v>
      </c>
      <c r="C1355" s="1" t="n">
        <v>48</v>
      </c>
      <c r="E1355" s="1" t="s">
        <v>3737</v>
      </c>
      <c r="J1355" s="1" t="s">
        <v>3737</v>
      </c>
      <c r="K1355" s="1" t="n">
        <f aca="false">IF(Search!$D$5="",0,IF(AND(OR(Search!$N$5="",ISNUMBER(SEARCH(Search!$N$5,J1355))),OR(Search!$N$6="",ISNUMBER(SEARCH(Search!$N$6,J1355))),OR(Search!$N$7="",ISNUMBER(SEARCH(Search!$N$7,J1355))),OR(Search!$N$8="",ISNUMBER(SEARCH(Search!$N$8,J1355)))),1,0))</f>
        <v>0</v>
      </c>
      <c r="L1355" s="1" t="n">
        <f aca="false">L1354+K1355</f>
        <v>0</v>
      </c>
    </row>
    <row r="1356" customFormat="false" ht="54.75" hidden="false" customHeight="true" outlineLevel="0" collapsed="false">
      <c r="A1356" s="1" t="s">
        <v>306</v>
      </c>
      <c r="B1356" s="1" t="s">
        <v>1221</v>
      </c>
      <c r="C1356" s="1" t="n">
        <v>49</v>
      </c>
      <c r="E1356" s="46" t="s">
        <v>3738</v>
      </c>
      <c r="F1356" s="46" t="s">
        <v>3739</v>
      </c>
      <c r="G1356" s="46" t="s">
        <v>3740</v>
      </c>
      <c r="J1356" s="46" t="s">
        <v>3741</v>
      </c>
      <c r="K1356" s="1" t="n">
        <f aca="false">IF(Search!$D$5="",0,IF(AND(OR(Search!$N$5="",ISNUMBER(SEARCH(Search!$N$5,J1356))),OR(Search!$N$6="",ISNUMBER(SEARCH(Search!$N$6,J1356))),OR(Search!$N$7="",ISNUMBER(SEARCH(Search!$N$7,J1356))),OR(Search!$N$8="",ISNUMBER(SEARCH(Search!$N$8,J1356)))),1,0))</f>
        <v>0</v>
      </c>
      <c r="L1356" s="1" t="n">
        <f aca="false">L1355+K1356</f>
        <v>0</v>
      </c>
    </row>
    <row r="1357" customFormat="false" ht="15" hidden="false" customHeight="true" outlineLevel="0" collapsed="false">
      <c r="A1357" s="1" t="s">
        <v>306</v>
      </c>
      <c r="B1357" s="1" t="s">
        <v>1221</v>
      </c>
      <c r="C1357" s="1" t="n">
        <v>50</v>
      </c>
      <c r="E1357" s="1" t="s">
        <v>1838</v>
      </c>
      <c r="F1357" s="1" t="s">
        <v>3742</v>
      </c>
      <c r="G1357" s="1" t="s">
        <v>3743</v>
      </c>
      <c r="J1357" s="1" t="s">
        <v>3744</v>
      </c>
      <c r="K1357" s="1" t="n">
        <f aca="false">IF(Search!$D$5="",0,IF(AND(OR(Search!$N$5="",ISNUMBER(SEARCH(Search!$N$5,J1357))),OR(Search!$N$6="",ISNUMBER(SEARCH(Search!$N$6,J1357))),OR(Search!$N$7="",ISNUMBER(SEARCH(Search!$N$7,J1357))),OR(Search!$N$8="",ISNUMBER(SEARCH(Search!$N$8,J1357)))),1,0))</f>
        <v>0</v>
      </c>
      <c r="L1357" s="1" t="n">
        <f aca="false">L1356+K1357</f>
        <v>0</v>
      </c>
    </row>
    <row r="1358" customFormat="false" ht="15" hidden="false" customHeight="true" outlineLevel="0" collapsed="false">
      <c r="A1358" s="1" t="s">
        <v>306</v>
      </c>
      <c r="B1358" s="1" t="s">
        <v>1221</v>
      </c>
      <c r="C1358" s="1" t="n">
        <v>51</v>
      </c>
      <c r="E1358" s="1" t="s">
        <v>1904</v>
      </c>
      <c r="F1358" s="1" t="s">
        <v>3745</v>
      </c>
      <c r="G1358" s="1" t="s">
        <v>3746</v>
      </c>
      <c r="J1358" s="1" t="s">
        <v>3747</v>
      </c>
      <c r="K1358" s="1" t="n">
        <f aca="false">IF(Search!$D$5="",0,IF(AND(OR(Search!$N$5="",ISNUMBER(SEARCH(Search!$N$5,J1358))),OR(Search!$N$6="",ISNUMBER(SEARCH(Search!$N$6,J1358))),OR(Search!$N$7="",ISNUMBER(SEARCH(Search!$N$7,J1358))),OR(Search!$N$8="",ISNUMBER(SEARCH(Search!$N$8,J1358)))),1,0))</f>
        <v>0</v>
      </c>
      <c r="L1358" s="1" t="n">
        <f aca="false">L1357+K1358</f>
        <v>0</v>
      </c>
    </row>
    <row r="1359" customFormat="false" ht="15" hidden="false" customHeight="true" outlineLevel="0" collapsed="false">
      <c r="A1359" s="1" t="s">
        <v>306</v>
      </c>
      <c r="B1359" s="1" t="s">
        <v>1221</v>
      </c>
      <c r="C1359" s="1" t="n">
        <v>52</v>
      </c>
      <c r="E1359" s="1" t="s">
        <v>1929</v>
      </c>
      <c r="F1359" s="1" t="s">
        <v>3748</v>
      </c>
      <c r="G1359" s="1" t="s">
        <v>3749</v>
      </c>
      <c r="J1359" s="1" t="s">
        <v>3750</v>
      </c>
      <c r="K1359" s="1" t="n">
        <f aca="false">IF(Search!$D$5="",0,IF(AND(OR(Search!$N$5="",ISNUMBER(SEARCH(Search!$N$5,J1359))),OR(Search!$N$6="",ISNUMBER(SEARCH(Search!$N$6,J1359))),OR(Search!$N$7="",ISNUMBER(SEARCH(Search!$N$7,J1359))),OR(Search!$N$8="",ISNUMBER(SEARCH(Search!$N$8,J1359)))),1,0))</f>
        <v>0</v>
      </c>
      <c r="L1359" s="1" t="n">
        <f aca="false">L1358+K1359</f>
        <v>0</v>
      </c>
    </row>
    <row r="1360" customFormat="false" ht="15" hidden="false" customHeight="true" outlineLevel="0" collapsed="false">
      <c r="A1360" s="1" t="s">
        <v>306</v>
      </c>
      <c r="B1360" s="1" t="s">
        <v>1221</v>
      </c>
      <c r="C1360" s="1" t="n">
        <v>53</v>
      </c>
      <c r="E1360" s="1" t="s">
        <v>1975</v>
      </c>
      <c r="F1360" s="1" t="s">
        <v>3751</v>
      </c>
      <c r="G1360" s="1" t="s">
        <v>3752</v>
      </c>
      <c r="J1360" s="1" t="s">
        <v>3753</v>
      </c>
      <c r="K1360" s="1" t="n">
        <f aca="false">IF(Search!$D$5="",0,IF(AND(OR(Search!$N$5="",ISNUMBER(SEARCH(Search!$N$5,J1360))),OR(Search!$N$6="",ISNUMBER(SEARCH(Search!$N$6,J1360))),OR(Search!$N$7="",ISNUMBER(SEARCH(Search!$N$7,J1360))),OR(Search!$N$8="",ISNUMBER(SEARCH(Search!$N$8,J1360)))),1,0))</f>
        <v>0</v>
      </c>
      <c r="L1360" s="1" t="n">
        <f aca="false">L1359+K1360</f>
        <v>0</v>
      </c>
    </row>
    <row r="1361" customFormat="false" ht="15" hidden="false" customHeight="true" outlineLevel="0" collapsed="false">
      <c r="A1361" s="1" t="s">
        <v>306</v>
      </c>
      <c r="B1361" s="1" t="s">
        <v>1221</v>
      </c>
      <c r="C1361" s="1" t="n">
        <v>54</v>
      </c>
      <c r="E1361" s="1" t="s">
        <v>627</v>
      </c>
      <c r="F1361" s="1" t="s">
        <v>3754</v>
      </c>
      <c r="G1361" s="1" t="s">
        <v>3755</v>
      </c>
      <c r="J1361" s="1" t="s">
        <v>3756</v>
      </c>
      <c r="K1361" s="1" t="n">
        <f aca="false">IF(Search!$D$5="",0,IF(AND(OR(Search!$N$5="",ISNUMBER(SEARCH(Search!$N$5,J1361))),OR(Search!$N$6="",ISNUMBER(SEARCH(Search!$N$6,J1361))),OR(Search!$N$7="",ISNUMBER(SEARCH(Search!$N$7,J1361))),OR(Search!$N$8="",ISNUMBER(SEARCH(Search!$N$8,J1361)))),1,0))</f>
        <v>0</v>
      </c>
      <c r="L1361" s="1" t="n">
        <f aca="false">L1360+K1361</f>
        <v>0</v>
      </c>
    </row>
    <row r="1362" customFormat="false" ht="15" hidden="false" customHeight="true" outlineLevel="0" collapsed="false">
      <c r="A1362" s="1" t="s">
        <v>306</v>
      </c>
      <c r="B1362" s="1" t="s">
        <v>1221</v>
      </c>
      <c r="C1362" s="1" t="n">
        <v>55</v>
      </c>
      <c r="E1362" s="1" t="s">
        <v>2015</v>
      </c>
      <c r="F1362" s="1" t="s">
        <v>1324</v>
      </c>
      <c r="G1362" s="1" t="s">
        <v>1325</v>
      </c>
      <c r="J1362" s="1" t="s">
        <v>3757</v>
      </c>
      <c r="K1362" s="1" t="n">
        <f aca="false">IF(Search!$D$5="",0,IF(AND(OR(Search!$N$5="",ISNUMBER(SEARCH(Search!$N$5,J1362))),OR(Search!$N$6="",ISNUMBER(SEARCH(Search!$N$6,J1362))),OR(Search!$N$7="",ISNUMBER(SEARCH(Search!$N$7,J1362))),OR(Search!$N$8="",ISNUMBER(SEARCH(Search!$N$8,J1362)))),1,0))</f>
        <v>0</v>
      </c>
      <c r="L1362" s="1" t="n">
        <f aca="false">L1361+K1362</f>
        <v>0</v>
      </c>
    </row>
    <row r="1363" customFormat="false" ht="15" hidden="false" customHeight="true" outlineLevel="0" collapsed="false">
      <c r="A1363" s="1" t="s">
        <v>306</v>
      </c>
      <c r="B1363" s="1" t="s">
        <v>1221</v>
      </c>
      <c r="C1363" s="1" t="n">
        <v>56</v>
      </c>
      <c r="E1363" s="1" t="s">
        <v>2061</v>
      </c>
      <c r="F1363" s="1" t="s">
        <v>3758</v>
      </c>
      <c r="G1363" s="1" t="s">
        <v>3759</v>
      </c>
      <c r="J1363" s="1" t="s">
        <v>3760</v>
      </c>
      <c r="K1363" s="1" t="n">
        <f aca="false">IF(Search!$D$5="",0,IF(AND(OR(Search!$N$5="",ISNUMBER(SEARCH(Search!$N$5,J1363))),OR(Search!$N$6="",ISNUMBER(SEARCH(Search!$N$6,J1363))),OR(Search!$N$7="",ISNUMBER(SEARCH(Search!$N$7,J1363))),OR(Search!$N$8="",ISNUMBER(SEARCH(Search!$N$8,J1363)))),1,0))</f>
        <v>0</v>
      </c>
      <c r="L1363" s="1" t="n">
        <f aca="false">L1362+K1363</f>
        <v>0</v>
      </c>
    </row>
    <row r="1364" customFormat="false" ht="15" hidden="false" customHeight="true" outlineLevel="0" collapsed="false">
      <c r="A1364" s="1" t="s">
        <v>306</v>
      </c>
      <c r="B1364" s="1" t="s">
        <v>1221</v>
      </c>
      <c r="C1364" s="1" t="n">
        <v>57</v>
      </c>
      <c r="E1364" s="1" t="s">
        <v>2081</v>
      </c>
      <c r="F1364" s="1" t="s">
        <v>3761</v>
      </c>
      <c r="G1364" s="1" t="s">
        <v>3762</v>
      </c>
      <c r="J1364" s="1" t="s">
        <v>3763</v>
      </c>
      <c r="K1364" s="1" t="n">
        <f aca="false">IF(Search!$D$5="",0,IF(AND(OR(Search!$N$5="",ISNUMBER(SEARCH(Search!$N$5,J1364))),OR(Search!$N$6="",ISNUMBER(SEARCH(Search!$N$6,J1364))),OR(Search!$N$7="",ISNUMBER(SEARCH(Search!$N$7,J1364))),OR(Search!$N$8="",ISNUMBER(SEARCH(Search!$N$8,J1364)))),1,0))</f>
        <v>0</v>
      </c>
      <c r="L1364" s="1" t="n">
        <f aca="false">L1363+K1364</f>
        <v>0</v>
      </c>
    </row>
    <row r="1365" customFormat="false" ht="15" hidden="false" customHeight="true" outlineLevel="0" collapsed="false">
      <c r="A1365" s="1" t="s">
        <v>306</v>
      </c>
      <c r="B1365" s="1" t="s">
        <v>1221</v>
      </c>
      <c r="C1365" s="1" t="n">
        <v>58</v>
      </c>
      <c r="E1365" s="1" t="s">
        <v>585</v>
      </c>
      <c r="F1365" s="1" t="s">
        <v>2543</v>
      </c>
      <c r="G1365" s="1" t="s">
        <v>627</v>
      </c>
      <c r="J1365" s="1" t="s">
        <v>3764</v>
      </c>
      <c r="K1365" s="1" t="n">
        <f aca="false">IF(Search!$D$5="",0,IF(AND(OR(Search!$N$5="",ISNUMBER(SEARCH(Search!$N$5,J1365))),OR(Search!$N$6="",ISNUMBER(SEARCH(Search!$N$6,J1365))),OR(Search!$N$7="",ISNUMBER(SEARCH(Search!$N$7,J1365))),OR(Search!$N$8="",ISNUMBER(SEARCH(Search!$N$8,J1365)))),1,0))</f>
        <v>0</v>
      </c>
      <c r="L1365" s="1" t="n">
        <f aca="false">L1364+K1365</f>
        <v>0</v>
      </c>
    </row>
    <row r="1366" customFormat="false" ht="15" hidden="false" customHeight="true" outlineLevel="0" collapsed="false">
      <c r="A1366" s="1" t="s">
        <v>306</v>
      </c>
      <c r="B1366" s="1" t="s">
        <v>1221</v>
      </c>
      <c r="C1366" s="1" t="n">
        <v>59</v>
      </c>
      <c r="E1366" s="1" t="s">
        <v>580</v>
      </c>
      <c r="F1366" s="1" t="s">
        <v>3168</v>
      </c>
      <c r="G1366" s="1" t="s">
        <v>3169</v>
      </c>
      <c r="J1366" s="1" t="s">
        <v>3765</v>
      </c>
      <c r="K1366" s="1" t="n">
        <f aca="false">IF(Search!$D$5="",0,IF(AND(OR(Search!$N$5="",ISNUMBER(SEARCH(Search!$N$5,J1366))),OR(Search!$N$6="",ISNUMBER(SEARCH(Search!$N$6,J1366))),OR(Search!$N$7="",ISNUMBER(SEARCH(Search!$N$7,J1366))),OR(Search!$N$8="",ISNUMBER(SEARCH(Search!$N$8,J1366)))),1,0))</f>
        <v>0</v>
      </c>
      <c r="L1366" s="1" t="n">
        <f aca="false">L1365+K1366</f>
        <v>0</v>
      </c>
    </row>
    <row r="1367" customFormat="false" ht="15" hidden="false" customHeight="true" outlineLevel="0" collapsed="false">
      <c r="A1367" s="1" t="s">
        <v>306</v>
      </c>
      <c r="B1367" s="1" t="s">
        <v>1221</v>
      </c>
      <c r="C1367" s="1" t="n">
        <v>60</v>
      </c>
      <c r="E1367" s="1" t="s">
        <v>587</v>
      </c>
      <c r="F1367" s="1" t="s">
        <v>1570</v>
      </c>
      <c r="G1367" s="1" t="s">
        <v>1571</v>
      </c>
      <c r="J1367" s="1" t="s">
        <v>3766</v>
      </c>
      <c r="K1367" s="1" t="n">
        <f aca="false">IF(Search!$D$5="",0,IF(AND(OR(Search!$N$5="",ISNUMBER(SEARCH(Search!$N$5,J1367))),OR(Search!$N$6="",ISNUMBER(SEARCH(Search!$N$6,J1367))),OR(Search!$N$7="",ISNUMBER(SEARCH(Search!$N$7,J1367))),OR(Search!$N$8="",ISNUMBER(SEARCH(Search!$N$8,J1367)))),1,0))</f>
        <v>0</v>
      </c>
      <c r="L1367" s="1" t="n">
        <f aca="false">L1366+K1367</f>
        <v>0</v>
      </c>
    </row>
    <row r="1368" customFormat="false" ht="15" hidden="false" customHeight="true" outlineLevel="0" collapsed="false">
      <c r="A1368" s="1" t="s">
        <v>306</v>
      </c>
      <c r="B1368" s="1" t="s">
        <v>1221</v>
      </c>
      <c r="C1368" s="1" t="n">
        <v>61</v>
      </c>
      <c r="E1368" s="1" t="s">
        <v>579</v>
      </c>
      <c r="F1368" s="1" t="s">
        <v>3767</v>
      </c>
      <c r="G1368" s="1" t="s">
        <v>3768</v>
      </c>
      <c r="J1368" s="1" t="s">
        <v>3769</v>
      </c>
      <c r="K1368" s="1" t="n">
        <f aca="false">IF(Search!$D$5="",0,IF(AND(OR(Search!$N$5="",ISNUMBER(SEARCH(Search!$N$5,J1368))),OR(Search!$N$6="",ISNUMBER(SEARCH(Search!$N$6,J1368))),OR(Search!$N$7="",ISNUMBER(SEARCH(Search!$N$7,J1368))),OR(Search!$N$8="",ISNUMBER(SEARCH(Search!$N$8,J1368)))),1,0))</f>
        <v>0</v>
      </c>
      <c r="L1368" s="1" t="n">
        <f aca="false">L1367+K1368</f>
        <v>0</v>
      </c>
    </row>
    <row r="1369" customFormat="false" ht="15" hidden="false" customHeight="true" outlineLevel="0" collapsed="false">
      <c r="A1369" s="1" t="s">
        <v>306</v>
      </c>
      <c r="B1369" s="1" t="s">
        <v>1221</v>
      </c>
      <c r="C1369" s="1" t="n">
        <v>62</v>
      </c>
      <c r="E1369" s="1" t="s">
        <v>2168</v>
      </c>
      <c r="F1369" s="1" t="s">
        <v>3770</v>
      </c>
      <c r="G1369" s="1" t="s">
        <v>3771</v>
      </c>
      <c r="J1369" s="1" t="s">
        <v>3772</v>
      </c>
      <c r="K1369" s="1" t="n">
        <f aca="false">IF(Search!$D$5="",0,IF(AND(OR(Search!$N$5="",ISNUMBER(SEARCH(Search!$N$5,J1369))),OR(Search!$N$6="",ISNUMBER(SEARCH(Search!$N$6,J1369))),OR(Search!$N$7="",ISNUMBER(SEARCH(Search!$N$7,J1369))),OR(Search!$N$8="",ISNUMBER(SEARCH(Search!$N$8,J1369)))),1,0))</f>
        <v>0</v>
      </c>
      <c r="L1369" s="1" t="n">
        <f aca="false">L1368+K1369</f>
        <v>0</v>
      </c>
    </row>
    <row r="1370" customFormat="false" ht="15" hidden="false" customHeight="true" outlineLevel="0" collapsed="false">
      <c r="A1370" s="1" t="s">
        <v>306</v>
      </c>
      <c r="B1370" s="1" t="s">
        <v>1221</v>
      </c>
      <c r="C1370" s="1" t="n">
        <v>63</v>
      </c>
      <c r="E1370" s="1" t="s">
        <v>2180</v>
      </c>
      <c r="F1370" s="1" t="s">
        <v>3773</v>
      </c>
      <c r="G1370" s="1" t="s">
        <v>3774</v>
      </c>
      <c r="J1370" s="1" t="s">
        <v>3775</v>
      </c>
      <c r="K1370" s="1" t="n">
        <f aca="false">IF(Search!$D$5="",0,IF(AND(OR(Search!$N$5="",ISNUMBER(SEARCH(Search!$N$5,J1370))),OR(Search!$N$6="",ISNUMBER(SEARCH(Search!$N$6,J1370))),OR(Search!$N$7="",ISNUMBER(SEARCH(Search!$N$7,J1370))),OR(Search!$N$8="",ISNUMBER(SEARCH(Search!$N$8,J1370)))),1,0))</f>
        <v>0</v>
      </c>
      <c r="L1370" s="1" t="n">
        <f aca="false">L1369+K1370</f>
        <v>0</v>
      </c>
    </row>
    <row r="1371" customFormat="false" ht="15" hidden="false" customHeight="true" outlineLevel="0" collapsed="false">
      <c r="A1371" s="1" t="s">
        <v>306</v>
      </c>
      <c r="B1371" s="1" t="s">
        <v>1221</v>
      </c>
      <c r="C1371" s="1" t="n">
        <v>64</v>
      </c>
      <c r="E1371" s="1" t="s">
        <v>1959</v>
      </c>
      <c r="F1371" s="1" t="s">
        <v>2597</v>
      </c>
      <c r="G1371" s="1" t="s">
        <v>2598</v>
      </c>
      <c r="J1371" s="1" t="s">
        <v>3776</v>
      </c>
      <c r="K1371" s="1" t="n">
        <f aca="false">IF(Search!$D$5="",0,IF(AND(OR(Search!$N$5="",ISNUMBER(SEARCH(Search!$N$5,J1371))),OR(Search!$N$6="",ISNUMBER(SEARCH(Search!$N$6,J1371))),OR(Search!$N$7="",ISNUMBER(SEARCH(Search!$N$7,J1371))),OR(Search!$N$8="",ISNUMBER(SEARCH(Search!$N$8,J1371)))),1,0))</f>
        <v>0</v>
      </c>
      <c r="L1371" s="1" t="n">
        <f aca="false">L1370+K1371</f>
        <v>0</v>
      </c>
    </row>
    <row r="1372" customFormat="false" ht="15" hidden="false" customHeight="true" outlineLevel="0" collapsed="false">
      <c r="A1372" s="1" t="s">
        <v>306</v>
      </c>
      <c r="B1372" s="1" t="s">
        <v>1221</v>
      </c>
      <c r="C1372" s="1" t="n">
        <v>65</v>
      </c>
      <c r="E1372" s="1" t="s">
        <v>982</v>
      </c>
      <c r="F1372" s="1" t="s">
        <v>2419</v>
      </c>
      <c r="G1372" s="1" t="s">
        <v>2420</v>
      </c>
      <c r="J1372" s="1" t="s">
        <v>3777</v>
      </c>
      <c r="K1372" s="1" t="n">
        <f aca="false">IF(Search!$D$5="",0,IF(AND(OR(Search!$N$5="",ISNUMBER(SEARCH(Search!$N$5,J1372))),OR(Search!$N$6="",ISNUMBER(SEARCH(Search!$N$6,J1372))),OR(Search!$N$7="",ISNUMBER(SEARCH(Search!$N$7,J1372))),OR(Search!$N$8="",ISNUMBER(SEARCH(Search!$N$8,J1372)))),1,0))</f>
        <v>0</v>
      </c>
      <c r="L1372" s="1" t="n">
        <f aca="false">L1371+K1372</f>
        <v>0</v>
      </c>
    </row>
    <row r="1373" customFormat="false" ht="15" hidden="false" customHeight="true" outlineLevel="0" collapsed="false">
      <c r="A1373" s="1" t="s">
        <v>306</v>
      </c>
      <c r="B1373" s="1" t="s">
        <v>1221</v>
      </c>
      <c r="C1373" s="1" t="n">
        <v>66</v>
      </c>
      <c r="E1373" s="1" t="s">
        <v>2688</v>
      </c>
      <c r="F1373" s="1" t="s">
        <v>3778</v>
      </c>
      <c r="G1373" s="1" t="s">
        <v>3779</v>
      </c>
      <c r="J1373" s="1" t="s">
        <v>3780</v>
      </c>
      <c r="K1373" s="1" t="n">
        <f aca="false">IF(Search!$D$5="",0,IF(AND(OR(Search!$N$5="",ISNUMBER(SEARCH(Search!$N$5,J1373))),OR(Search!$N$6="",ISNUMBER(SEARCH(Search!$N$6,J1373))),OR(Search!$N$7="",ISNUMBER(SEARCH(Search!$N$7,J1373))),OR(Search!$N$8="",ISNUMBER(SEARCH(Search!$N$8,J1373)))),1,0))</f>
        <v>0</v>
      </c>
      <c r="L1373" s="1" t="n">
        <f aca="false">L1372+K1373</f>
        <v>0</v>
      </c>
    </row>
    <row r="1374" customFormat="false" ht="15" hidden="false" customHeight="true" outlineLevel="0" collapsed="false">
      <c r="A1374" s="1" t="s">
        <v>306</v>
      </c>
      <c r="B1374" s="1" t="s">
        <v>1221</v>
      </c>
      <c r="C1374" s="1" t="n">
        <v>67</v>
      </c>
      <c r="E1374" s="1" t="s">
        <v>2620</v>
      </c>
      <c r="F1374" s="1" t="s">
        <v>3781</v>
      </c>
      <c r="G1374" s="1" t="s">
        <v>3782</v>
      </c>
      <c r="J1374" s="1" t="s">
        <v>3783</v>
      </c>
      <c r="K1374" s="1" t="n">
        <f aca="false">IF(Search!$D$5="",0,IF(AND(OR(Search!$N$5="",ISNUMBER(SEARCH(Search!$N$5,J1374))),OR(Search!$N$6="",ISNUMBER(SEARCH(Search!$N$6,J1374))),OR(Search!$N$7="",ISNUMBER(SEARCH(Search!$N$7,J1374))),OR(Search!$N$8="",ISNUMBER(SEARCH(Search!$N$8,J1374)))),1,0))</f>
        <v>0</v>
      </c>
      <c r="L1374" s="1" t="n">
        <f aca="false">L1373+K1374</f>
        <v>0</v>
      </c>
    </row>
    <row r="1375" customFormat="false" ht="15" hidden="false" customHeight="true" outlineLevel="0" collapsed="false">
      <c r="A1375" s="1" t="s">
        <v>306</v>
      </c>
      <c r="B1375" s="1" t="s">
        <v>1221</v>
      </c>
      <c r="C1375" s="1" t="n">
        <v>68</v>
      </c>
      <c r="E1375" s="1" t="s">
        <v>3161</v>
      </c>
      <c r="F1375" s="1" t="s">
        <v>3784</v>
      </c>
      <c r="G1375" s="1" t="s">
        <v>3785</v>
      </c>
      <c r="J1375" s="1" t="s">
        <v>3786</v>
      </c>
      <c r="K1375" s="1" t="n">
        <f aca="false">IF(Search!$D$5="",0,IF(AND(OR(Search!$N$5="",ISNUMBER(SEARCH(Search!$N$5,J1375))),OR(Search!$N$6="",ISNUMBER(SEARCH(Search!$N$6,J1375))),OR(Search!$N$7="",ISNUMBER(SEARCH(Search!$N$7,J1375))),OR(Search!$N$8="",ISNUMBER(SEARCH(Search!$N$8,J1375)))),1,0))</f>
        <v>0</v>
      </c>
      <c r="L1375" s="1" t="n">
        <f aca="false">L1374+K1375</f>
        <v>0</v>
      </c>
    </row>
    <row r="1376" customFormat="false" ht="15" hidden="false" customHeight="true" outlineLevel="0" collapsed="false">
      <c r="A1376" s="1" t="s">
        <v>306</v>
      </c>
      <c r="B1376" s="1" t="s">
        <v>1221</v>
      </c>
      <c r="C1376" s="1" t="n">
        <v>69</v>
      </c>
      <c r="E1376" s="1" t="s">
        <v>492</v>
      </c>
      <c r="F1376" s="1" t="s">
        <v>3787</v>
      </c>
      <c r="G1376" s="1" t="s">
        <v>3788</v>
      </c>
      <c r="J1376" s="1" t="s">
        <v>3789</v>
      </c>
      <c r="K1376" s="1" t="n">
        <f aca="false">IF(Search!$D$5="",0,IF(AND(OR(Search!$N$5="",ISNUMBER(SEARCH(Search!$N$5,J1376))),OR(Search!$N$6="",ISNUMBER(SEARCH(Search!$N$6,J1376))),OR(Search!$N$7="",ISNUMBER(SEARCH(Search!$N$7,J1376))),OR(Search!$N$8="",ISNUMBER(SEARCH(Search!$N$8,J1376)))),1,0))</f>
        <v>0</v>
      </c>
      <c r="L1376" s="1" t="n">
        <f aca="false">L1375+K1376</f>
        <v>0</v>
      </c>
    </row>
    <row r="1377" customFormat="false" ht="15" hidden="false" customHeight="true" outlineLevel="0" collapsed="false">
      <c r="A1377" s="1" t="s">
        <v>306</v>
      </c>
      <c r="B1377" s="1" t="s">
        <v>1221</v>
      </c>
      <c r="C1377" s="1" t="n">
        <v>70</v>
      </c>
      <c r="E1377" s="1" t="s">
        <v>3790</v>
      </c>
      <c r="F1377" s="1" t="s">
        <v>2038</v>
      </c>
      <c r="G1377" s="1" t="s">
        <v>2039</v>
      </c>
      <c r="J1377" s="1" t="s">
        <v>3791</v>
      </c>
      <c r="K1377" s="1" t="n">
        <f aca="false">IF(Search!$D$5="",0,IF(AND(OR(Search!$N$5="",ISNUMBER(SEARCH(Search!$N$5,J1377))),OR(Search!$N$6="",ISNUMBER(SEARCH(Search!$N$6,J1377))),OR(Search!$N$7="",ISNUMBER(SEARCH(Search!$N$7,J1377))),OR(Search!$N$8="",ISNUMBER(SEARCH(Search!$N$8,J1377)))),1,0))</f>
        <v>0</v>
      </c>
      <c r="L1377" s="1" t="n">
        <f aca="false">L1376+K1377</f>
        <v>0</v>
      </c>
    </row>
    <row r="1378" customFormat="false" ht="15" hidden="false" customHeight="true" outlineLevel="0" collapsed="false">
      <c r="A1378" s="1" t="s">
        <v>306</v>
      </c>
      <c r="B1378" s="1" t="s">
        <v>1221</v>
      </c>
      <c r="C1378" s="1" t="n">
        <v>71</v>
      </c>
      <c r="E1378" s="1" t="s">
        <v>3680</v>
      </c>
      <c r="F1378" s="1" t="s">
        <v>3792</v>
      </c>
      <c r="G1378" s="1" t="s">
        <v>3793</v>
      </c>
      <c r="J1378" s="1" t="s">
        <v>3794</v>
      </c>
      <c r="K1378" s="1" t="n">
        <f aca="false">IF(Search!$D$5="",0,IF(AND(OR(Search!$N$5="",ISNUMBER(SEARCH(Search!$N$5,J1378))),OR(Search!$N$6="",ISNUMBER(SEARCH(Search!$N$6,J1378))),OR(Search!$N$7="",ISNUMBER(SEARCH(Search!$N$7,J1378))),OR(Search!$N$8="",ISNUMBER(SEARCH(Search!$N$8,J1378)))),1,0))</f>
        <v>0</v>
      </c>
      <c r="L1378" s="1" t="n">
        <f aca="false">L1377+K1378</f>
        <v>0</v>
      </c>
    </row>
    <row r="1379" customFormat="false" ht="15" hidden="false" customHeight="true" outlineLevel="0" collapsed="false">
      <c r="A1379" s="1" t="s">
        <v>306</v>
      </c>
      <c r="B1379" s="1" t="s">
        <v>1221</v>
      </c>
      <c r="C1379" s="1" t="n">
        <v>72</v>
      </c>
      <c r="E1379" s="1" t="s">
        <v>2391</v>
      </c>
      <c r="F1379" s="1" t="s">
        <v>3547</v>
      </c>
      <c r="G1379" s="1" t="s">
        <v>3241</v>
      </c>
      <c r="J1379" s="1" t="s">
        <v>3795</v>
      </c>
      <c r="K1379" s="1" t="n">
        <f aca="false">IF(Search!$D$5="",0,IF(AND(OR(Search!$N$5="",ISNUMBER(SEARCH(Search!$N$5,J1379))),OR(Search!$N$6="",ISNUMBER(SEARCH(Search!$N$6,J1379))),OR(Search!$N$7="",ISNUMBER(SEARCH(Search!$N$7,J1379))),OR(Search!$N$8="",ISNUMBER(SEARCH(Search!$N$8,J1379)))),1,0))</f>
        <v>0</v>
      </c>
      <c r="L1379" s="1" t="n">
        <f aca="false">L1378+K1379</f>
        <v>0</v>
      </c>
    </row>
    <row r="1380" customFormat="false" ht="15" hidden="false" customHeight="true" outlineLevel="0" collapsed="false">
      <c r="A1380" s="1" t="s">
        <v>306</v>
      </c>
      <c r="B1380" s="1" t="s">
        <v>1221</v>
      </c>
      <c r="C1380" s="1" t="n">
        <v>73</v>
      </c>
      <c r="E1380" s="1" t="s">
        <v>3796</v>
      </c>
      <c r="F1380" s="1" t="s">
        <v>2015</v>
      </c>
      <c r="G1380" s="1" t="s">
        <v>2016</v>
      </c>
      <c r="J1380" s="1" t="s">
        <v>3797</v>
      </c>
      <c r="K1380" s="1" t="n">
        <f aca="false">IF(Search!$D$5="",0,IF(AND(OR(Search!$N$5="",ISNUMBER(SEARCH(Search!$N$5,J1380))),OR(Search!$N$6="",ISNUMBER(SEARCH(Search!$N$6,J1380))),OR(Search!$N$7="",ISNUMBER(SEARCH(Search!$N$7,J1380))),OR(Search!$N$8="",ISNUMBER(SEARCH(Search!$N$8,J1380)))),1,0))</f>
        <v>0</v>
      </c>
      <c r="L1380" s="1" t="n">
        <f aca="false">L1379+K1380</f>
        <v>0</v>
      </c>
    </row>
    <row r="1381" customFormat="false" ht="15" hidden="false" customHeight="true" outlineLevel="0" collapsed="false">
      <c r="A1381" s="1" t="s">
        <v>306</v>
      </c>
      <c r="B1381" s="1" t="s">
        <v>1221</v>
      </c>
      <c r="C1381" s="1" t="n">
        <v>74</v>
      </c>
      <c r="E1381" s="1" t="s">
        <v>3798</v>
      </c>
      <c r="F1381" s="1" t="s">
        <v>3799</v>
      </c>
      <c r="G1381" s="1" t="s">
        <v>3800</v>
      </c>
      <c r="J1381" s="1" t="s">
        <v>3801</v>
      </c>
      <c r="K1381" s="1" t="n">
        <f aca="false">IF(Search!$D$5="",0,IF(AND(OR(Search!$N$5="",ISNUMBER(SEARCH(Search!$N$5,J1381))),OR(Search!$N$6="",ISNUMBER(SEARCH(Search!$N$6,J1381))),OR(Search!$N$7="",ISNUMBER(SEARCH(Search!$N$7,J1381))),OR(Search!$N$8="",ISNUMBER(SEARCH(Search!$N$8,J1381)))),1,0))</f>
        <v>0</v>
      </c>
      <c r="L1381" s="1" t="n">
        <f aca="false">L1380+K1381</f>
        <v>0</v>
      </c>
    </row>
    <row r="1382" customFormat="false" ht="15" hidden="false" customHeight="true" outlineLevel="0" collapsed="false">
      <c r="A1382" s="1" t="s">
        <v>306</v>
      </c>
      <c r="B1382" s="1" t="s">
        <v>1221</v>
      </c>
      <c r="C1382" s="1" t="n">
        <v>75</v>
      </c>
      <c r="E1382" s="1" t="s">
        <v>2699</v>
      </c>
      <c r="F1382" s="1" t="s">
        <v>2253</v>
      </c>
      <c r="G1382" s="1" t="s">
        <v>2254</v>
      </c>
      <c r="J1382" s="1" t="s">
        <v>3802</v>
      </c>
      <c r="K1382" s="1" t="n">
        <f aca="false">IF(Search!$D$5="",0,IF(AND(OR(Search!$N$5="",ISNUMBER(SEARCH(Search!$N$5,J1382))),OR(Search!$N$6="",ISNUMBER(SEARCH(Search!$N$6,J1382))),OR(Search!$N$7="",ISNUMBER(SEARCH(Search!$N$7,J1382))),OR(Search!$N$8="",ISNUMBER(SEARCH(Search!$N$8,J1382)))),1,0))</f>
        <v>0</v>
      </c>
      <c r="L1382" s="1" t="n">
        <f aca="false">L1381+K1382</f>
        <v>0</v>
      </c>
    </row>
    <row r="1383" customFormat="false" ht="15" hidden="false" customHeight="true" outlineLevel="0" collapsed="false">
      <c r="A1383" s="1" t="s">
        <v>306</v>
      </c>
      <c r="B1383" s="1" t="s">
        <v>1221</v>
      </c>
      <c r="C1383" s="1" t="n">
        <v>76</v>
      </c>
      <c r="E1383" s="1" t="s">
        <v>2820</v>
      </c>
      <c r="F1383" s="1" t="s">
        <v>3803</v>
      </c>
      <c r="G1383" s="1" t="s">
        <v>3804</v>
      </c>
      <c r="J1383" s="1" t="s">
        <v>3805</v>
      </c>
      <c r="K1383" s="1" t="n">
        <f aca="false">IF(Search!$D$5="",0,IF(AND(OR(Search!$N$5="",ISNUMBER(SEARCH(Search!$N$5,J1383))),OR(Search!$N$6="",ISNUMBER(SEARCH(Search!$N$6,J1383))),OR(Search!$N$7="",ISNUMBER(SEARCH(Search!$N$7,J1383))),OR(Search!$N$8="",ISNUMBER(SEARCH(Search!$N$8,J1383)))),1,0))</f>
        <v>0</v>
      </c>
      <c r="L1383" s="1" t="n">
        <f aca="false">L1382+K1383</f>
        <v>0</v>
      </c>
    </row>
    <row r="1384" customFormat="false" ht="15" hidden="false" customHeight="true" outlineLevel="0" collapsed="false">
      <c r="A1384" s="1" t="s">
        <v>306</v>
      </c>
      <c r="B1384" s="1" t="s">
        <v>1221</v>
      </c>
      <c r="C1384" s="1" t="n">
        <v>77</v>
      </c>
      <c r="E1384" s="1" t="s">
        <v>3220</v>
      </c>
      <c r="F1384" s="1" t="s">
        <v>3806</v>
      </c>
      <c r="G1384" s="1" t="s">
        <v>3807</v>
      </c>
      <c r="J1384" s="1" t="s">
        <v>3808</v>
      </c>
      <c r="K1384" s="1" t="n">
        <f aca="false">IF(Search!$D$5="",0,IF(AND(OR(Search!$N$5="",ISNUMBER(SEARCH(Search!$N$5,J1384))),OR(Search!$N$6="",ISNUMBER(SEARCH(Search!$N$6,J1384))),OR(Search!$N$7="",ISNUMBER(SEARCH(Search!$N$7,J1384))),OR(Search!$N$8="",ISNUMBER(SEARCH(Search!$N$8,J1384)))),1,0))</f>
        <v>0</v>
      </c>
      <c r="L1384" s="1" t="n">
        <f aca="false">L1383+K1384</f>
        <v>0</v>
      </c>
    </row>
    <row r="1385" customFormat="false" ht="15" hidden="false" customHeight="true" outlineLevel="0" collapsed="false">
      <c r="A1385" s="1" t="s">
        <v>306</v>
      </c>
      <c r="B1385" s="1" t="s">
        <v>1221</v>
      </c>
      <c r="C1385" s="1" t="n">
        <v>78</v>
      </c>
      <c r="E1385" s="1" t="s">
        <v>2704</v>
      </c>
      <c r="F1385" s="1" t="s">
        <v>577</v>
      </c>
      <c r="G1385" s="1" t="s">
        <v>3809</v>
      </c>
      <c r="J1385" s="1" t="s">
        <v>3810</v>
      </c>
      <c r="K1385" s="1" t="n">
        <f aca="false">IF(Search!$D$5="",0,IF(AND(OR(Search!$N$5="",ISNUMBER(SEARCH(Search!$N$5,J1385))),OR(Search!$N$6="",ISNUMBER(SEARCH(Search!$N$6,J1385))),OR(Search!$N$7="",ISNUMBER(SEARCH(Search!$N$7,J1385))),OR(Search!$N$8="",ISNUMBER(SEARCH(Search!$N$8,J1385)))),1,0))</f>
        <v>0</v>
      </c>
      <c r="L1385" s="1" t="n">
        <f aca="false">L1384+K1385</f>
        <v>0</v>
      </c>
    </row>
    <row r="1386" customFormat="false" ht="15" hidden="false" customHeight="true" outlineLevel="0" collapsed="false">
      <c r="A1386" s="1" t="s">
        <v>306</v>
      </c>
      <c r="B1386" s="1" t="s">
        <v>1221</v>
      </c>
      <c r="C1386" s="1" t="n">
        <v>79</v>
      </c>
      <c r="E1386" s="1" t="s">
        <v>780</v>
      </c>
      <c r="F1386" s="1" t="s">
        <v>3811</v>
      </c>
      <c r="G1386" s="1" t="s">
        <v>3812</v>
      </c>
      <c r="J1386" s="1" t="s">
        <v>3813</v>
      </c>
      <c r="K1386" s="1" t="n">
        <f aca="false">IF(Search!$D$5="",0,IF(AND(OR(Search!$N$5="",ISNUMBER(SEARCH(Search!$N$5,J1386))),OR(Search!$N$6="",ISNUMBER(SEARCH(Search!$N$6,J1386))),OR(Search!$N$7="",ISNUMBER(SEARCH(Search!$N$7,J1386))),OR(Search!$N$8="",ISNUMBER(SEARCH(Search!$N$8,J1386)))),1,0))</f>
        <v>0</v>
      </c>
      <c r="L1386" s="1" t="n">
        <f aca="false">L1385+K1386</f>
        <v>0</v>
      </c>
    </row>
    <row r="1387" customFormat="false" ht="15" hidden="false" customHeight="true" outlineLevel="0" collapsed="false">
      <c r="A1387" s="1" t="s">
        <v>306</v>
      </c>
      <c r="B1387" s="1" t="s">
        <v>1221</v>
      </c>
      <c r="C1387" s="1" t="n">
        <v>80</v>
      </c>
      <c r="E1387" s="1" t="s">
        <v>3241</v>
      </c>
      <c r="F1387" s="1" t="s">
        <v>3814</v>
      </c>
      <c r="G1387" s="1" t="s">
        <v>3815</v>
      </c>
      <c r="J1387" s="1" t="s">
        <v>3816</v>
      </c>
      <c r="K1387" s="1" t="n">
        <f aca="false">IF(Search!$D$5="",0,IF(AND(OR(Search!$N$5="",ISNUMBER(SEARCH(Search!$N$5,J1387))),OR(Search!$N$6="",ISNUMBER(SEARCH(Search!$N$6,J1387))),OR(Search!$N$7="",ISNUMBER(SEARCH(Search!$N$7,J1387))),OR(Search!$N$8="",ISNUMBER(SEARCH(Search!$N$8,J1387)))),1,0))</f>
        <v>0</v>
      </c>
      <c r="L1387" s="1" t="n">
        <f aca="false">L1386+K1387</f>
        <v>0</v>
      </c>
    </row>
    <row r="1388" customFormat="false" ht="15" hidden="false" customHeight="true" outlineLevel="0" collapsed="false">
      <c r="A1388" s="1" t="s">
        <v>306</v>
      </c>
      <c r="B1388" s="1" t="s">
        <v>1221</v>
      </c>
      <c r="C1388" s="1" t="n">
        <v>81</v>
      </c>
      <c r="E1388" s="1" t="s">
        <v>2710</v>
      </c>
      <c r="F1388" s="1" t="s">
        <v>3817</v>
      </c>
      <c r="G1388" s="1" t="s">
        <v>3818</v>
      </c>
      <c r="J1388" s="1" t="s">
        <v>3819</v>
      </c>
      <c r="K1388" s="1" t="n">
        <f aca="false">IF(Search!$D$5="",0,IF(AND(OR(Search!$N$5="",ISNUMBER(SEARCH(Search!$N$5,J1388))),OR(Search!$N$6="",ISNUMBER(SEARCH(Search!$N$6,J1388))),OR(Search!$N$7="",ISNUMBER(SEARCH(Search!$N$7,J1388))),OR(Search!$N$8="",ISNUMBER(SEARCH(Search!$N$8,J1388)))),1,0))</f>
        <v>0</v>
      </c>
      <c r="L1388" s="1" t="n">
        <f aca="false">L1387+K1388</f>
        <v>0</v>
      </c>
    </row>
    <row r="1389" customFormat="false" ht="15" hidden="false" customHeight="true" outlineLevel="0" collapsed="false">
      <c r="A1389" s="1" t="s">
        <v>306</v>
      </c>
      <c r="B1389" s="1" t="s">
        <v>1221</v>
      </c>
      <c r="C1389" s="1" t="n">
        <v>82</v>
      </c>
      <c r="E1389" s="1" t="s">
        <v>3706</v>
      </c>
      <c r="F1389" s="1" t="s">
        <v>2610</v>
      </c>
      <c r="G1389" s="1" t="s">
        <v>3820</v>
      </c>
      <c r="J1389" s="1" t="s">
        <v>3821</v>
      </c>
      <c r="K1389" s="1" t="n">
        <f aca="false">IF(Search!$D$5="",0,IF(AND(OR(Search!$N$5="",ISNUMBER(SEARCH(Search!$N$5,J1389))),OR(Search!$N$6="",ISNUMBER(SEARCH(Search!$N$6,J1389))),OR(Search!$N$7="",ISNUMBER(SEARCH(Search!$N$7,J1389))),OR(Search!$N$8="",ISNUMBER(SEARCH(Search!$N$8,J1389)))),1,0))</f>
        <v>0</v>
      </c>
      <c r="L1389" s="1" t="n">
        <f aca="false">L1388+K1389</f>
        <v>0</v>
      </c>
    </row>
    <row r="1390" customFormat="false" ht="15" hidden="false" customHeight="true" outlineLevel="0" collapsed="false">
      <c r="A1390" s="1" t="s">
        <v>306</v>
      </c>
      <c r="B1390" s="1" t="s">
        <v>1221</v>
      </c>
      <c r="C1390" s="1" t="n">
        <v>83</v>
      </c>
      <c r="E1390" s="1" t="s">
        <v>2062</v>
      </c>
      <c r="F1390" s="1" t="s">
        <v>3822</v>
      </c>
      <c r="G1390" s="1" t="s">
        <v>3823</v>
      </c>
      <c r="J1390" s="1" t="s">
        <v>3824</v>
      </c>
      <c r="K1390" s="1" t="n">
        <f aca="false">IF(Search!$D$5="",0,IF(AND(OR(Search!$N$5="",ISNUMBER(SEARCH(Search!$N$5,J1390))),OR(Search!$N$6="",ISNUMBER(SEARCH(Search!$N$6,J1390))),OR(Search!$N$7="",ISNUMBER(SEARCH(Search!$N$7,J1390))),OR(Search!$N$8="",ISNUMBER(SEARCH(Search!$N$8,J1390)))),1,0))</f>
        <v>0</v>
      </c>
      <c r="L1390" s="1" t="n">
        <f aca="false">L1389+K1390</f>
        <v>0</v>
      </c>
    </row>
    <row r="1391" customFormat="false" ht="15" hidden="false" customHeight="true" outlineLevel="0" collapsed="false">
      <c r="A1391" s="1" t="s">
        <v>306</v>
      </c>
      <c r="B1391" s="1" t="s">
        <v>1221</v>
      </c>
      <c r="C1391" s="1" t="n">
        <v>84</v>
      </c>
      <c r="E1391" s="1" t="s">
        <v>3712</v>
      </c>
      <c r="F1391" s="1" t="s">
        <v>3825</v>
      </c>
      <c r="G1391" s="1" t="s">
        <v>3826</v>
      </c>
      <c r="J1391" s="1" t="s">
        <v>3827</v>
      </c>
      <c r="K1391" s="1" t="n">
        <f aca="false">IF(Search!$D$5="",0,IF(AND(OR(Search!$N$5="",ISNUMBER(SEARCH(Search!$N$5,J1391))),OR(Search!$N$6="",ISNUMBER(SEARCH(Search!$N$6,J1391))),OR(Search!$N$7="",ISNUMBER(SEARCH(Search!$N$7,J1391))),OR(Search!$N$8="",ISNUMBER(SEARCH(Search!$N$8,J1391)))),1,0))</f>
        <v>0</v>
      </c>
      <c r="L1391" s="1" t="n">
        <f aca="false">L1390+K1391</f>
        <v>0</v>
      </c>
    </row>
    <row r="1392" customFormat="false" ht="15" hidden="false" customHeight="true" outlineLevel="0" collapsed="false">
      <c r="A1392" s="1" t="s">
        <v>306</v>
      </c>
      <c r="B1392" s="1" t="s">
        <v>1221</v>
      </c>
      <c r="C1392" s="1" t="n">
        <v>85</v>
      </c>
      <c r="E1392" s="1" t="s">
        <v>2717</v>
      </c>
      <c r="F1392" s="1" t="s">
        <v>3828</v>
      </c>
      <c r="G1392" s="1" t="s">
        <v>3829</v>
      </c>
      <c r="J1392" s="1" t="s">
        <v>3830</v>
      </c>
      <c r="K1392" s="1" t="n">
        <f aca="false">IF(Search!$D$5="",0,IF(AND(OR(Search!$N$5="",ISNUMBER(SEARCH(Search!$N$5,J1392))),OR(Search!$N$6="",ISNUMBER(SEARCH(Search!$N$6,J1392))),OR(Search!$N$7="",ISNUMBER(SEARCH(Search!$N$7,J1392))),OR(Search!$N$8="",ISNUMBER(SEARCH(Search!$N$8,J1392)))),1,0))</f>
        <v>0</v>
      </c>
      <c r="L1392" s="1" t="n">
        <f aca="false">L1391+K1392</f>
        <v>0</v>
      </c>
    </row>
    <row r="1393" customFormat="false" ht="15" hidden="false" customHeight="true" outlineLevel="0" collapsed="false">
      <c r="A1393" s="1" t="s">
        <v>306</v>
      </c>
      <c r="B1393" s="1" t="s">
        <v>1221</v>
      </c>
      <c r="C1393" s="1" t="n">
        <v>86</v>
      </c>
      <c r="E1393" s="1" t="s">
        <v>3831</v>
      </c>
      <c r="F1393" s="1" t="s">
        <v>3832</v>
      </c>
      <c r="G1393" s="1" t="s">
        <v>3833</v>
      </c>
      <c r="J1393" s="1" t="s">
        <v>3834</v>
      </c>
      <c r="K1393" s="1" t="n">
        <f aca="false">IF(Search!$D$5="",0,IF(AND(OR(Search!$N$5="",ISNUMBER(SEARCH(Search!$N$5,J1393))),OR(Search!$N$6="",ISNUMBER(SEARCH(Search!$N$6,J1393))),OR(Search!$N$7="",ISNUMBER(SEARCH(Search!$N$7,J1393))),OR(Search!$N$8="",ISNUMBER(SEARCH(Search!$N$8,J1393)))),1,0))</f>
        <v>0</v>
      </c>
      <c r="L1393" s="1" t="n">
        <f aca="false">L1392+K1393</f>
        <v>0</v>
      </c>
    </row>
    <row r="1394" customFormat="false" ht="15" hidden="false" customHeight="true" outlineLevel="0" collapsed="false">
      <c r="A1394" s="1" t="s">
        <v>306</v>
      </c>
      <c r="B1394" s="1" t="s">
        <v>1221</v>
      </c>
      <c r="C1394" s="1" t="n">
        <v>87</v>
      </c>
      <c r="E1394" s="1" t="s">
        <v>736</v>
      </c>
      <c r="F1394" s="1" t="s">
        <v>3835</v>
      </c>
      <c r="G1394" s="1" t="s">
        <v>3836</v>
      </c>
      <c r="J1394" s="1" t="s">
        <v>3837</v>
      </c>
      <c r="K1394" s="1" t="n">
        <f aca="false">IF(Search!$D$5="",0,IF(AND(OR(Search!$N$5="",ISNUMBER(SEARCH(Search!$N$5,J1394))),OR(Search!$N$6="",ISNUMBER(SEARCH(Search!$N$6,J1394))),OR(Search!$N$7="",ISNUMBER(SEARCH(Search!$N$7,J1394))),OR(Search!$N$8="",ISNUMBER(SEARCH(Search!$N$8,J1394)))),1,0))</f>
        <v>0</v>
      </c>
      <c r="L1394" s="1" t="n">
        <f aca="false">L1393+K1394</f>
        <v>0</v>
      </c>
    </row>
    <row r="1395" customFormat="false" ht="15" hidden="false" customHeight="true" outlineLevel="0" collapsed="false">
      <c r="A1395" s="1" t="s">
        <v>306</v>
      </c>
      <c r="B1395" s="1" t="s">
        <v>1221</v>
      </c>
      <c r="C1395" s="1" t="n">
        <v>88</v>
      </c>
      <c r="E1395" s="1" t="s">
        <v>3721</v>
      </c>
      <c r="F1395" s="1" t="s">
        <v>3563</v>
      </c>
      <c r="G1395" s="1" t="s">
        <v>3838</v>
      </c>
      <c r="J1395" s="1" t="s">
        <v>3839</v>
      </c>
      <c r="K1395" s="1" t="n">
        <f aca="false">IF(Search!$D$5="",0,IF(AND(OR(Search!$N$5="",ISNUMBER(SEARCH(Search!$N$5,J1395))),OR(Search!$N$6="",ISNUMBER(SEARCH(Search!$N$6,J1395))),OR(Search!$N$7="",ISNUMBER(SEARCH(Search!$N$7,J1395))),OR(Search!$N$8="",ISNUMBER(SEARCH(Search!$N$8,J1395)))),1,0))</f>
        <v>0</v>
      </c>
      <c r="L1395" s="1" t="n">
        <f aca="false">L1394+K1395</f>
        <v>0</v>
      </c>
    </row>
    <row r="1396" customFormat="false" ht="15" hidden="false" customHeight="true" outlineLevel="0" collapsed="false">
      <c r="A1396" s="1" t="s">
        <v>306</v>
      </c>
      <c r="B1396" s="1" t="s">
        <v>1221</v>
      </c>
      <c r="C1396" s="1" t="n">
        <v>89</v>
      </c>
      <c r="E1396" s="1" t="s">
        <v>749</v>
      </c>
      <c r="F1396" s="1" t="s">
        <v>3840</v>
      </c>
      <c r="G1396" s="1" t="s">
        <v>3841</v>
      </c>
      <c r="J1396" s="1" t="s">
        <v>3842</v>
      </c>
      <c r="K1396" s="1" t="n">
        <f aca="false">IF(Search!$D$5="",0,IF(AND(OR(Search!$N$5="",ISNUMBER(SEARCH(Search!$N$5,J1396))),OR(Search!$N$6="",ISNUMBER(SEARCH(Search!$N$6,J1396))),OR(Search!$N$7="",ISNUMBER(SEARCH(Search!$N$7,J1396))),OR(Search!$N$8="",ISNUMBER(SEARCH(Search!$N$8,J1396)))),1,0))</f>
        <v>0</v>
      </c>
      <c r="L1396" s="1" t="n">
        <f aca="false">L1395+K1396</f>
        <v>0</v>
      </c>
    </row>
    <row r="1397" customFormat="false" ht="15" hidden="false" customHeight="true" outlineLevel="0" collapsed="false">
      <c r="A1397" s="1" t="s">
        <v>306</v>
      </c>
      <c r="B1397" s="1" t="s">
        <v>1221</v>
      </c>
      <c r="C1397" s="1" t="n">
        <v>90</v>
      </c>
      <c r="E1397" s="1" t="s">
        <v>3724</v>
      </c>
      <c r="F1397" s="1" t="s">
        <v>2181</v>
      </c>
      <c r="G1397" s="1" t="s">
        <v>2182</v>
      </c>
      <c r="J1397" s="1" t="s">
        <v>3843</v>
      </c>
      <c r="K1397" s="1" t="n">
        <f aca="false">IF(Search!$D$5="",0,IF(AND(OR(Search!$N$5="",ISNUMBER(SEARCH(Search!$N$5,J1397))),OR(Search!$N$6="",ISNUMBER(SEARCH(Search!$N$6,J1397))),OR(Search!$N$7="",ISNUMBER(SEARCH(Search!$N$7,J1397))),OR(Search!$N$8="",ISNUMBER(SEARCH(Search!$N$8,J1397)))),1,0))</f>
        <v>0</v>
      </c>
      <c r="L1397" s="1" t="n">
        <f aca="false">L1396+K1397</f>
        <v>0</v>
      </c>
    </row>
    <row r="1398" customFormat="false" ht="15" hidden="false" customHeight="true" outlineLevel="0" collapsed="false">
      <c r="A1398" s="1" t="s">
        <v>306</v>
      </c>
      <c r="B1398" s="1" t="s">
        <v>1221</v>
      </c>
      <c r="C1398" s="1" t="n">
        <v>91</v>
      </c>
      <c r="E1398" s="1" t="s">
        <v>3844</v>
      </c>
      <c r="F1398" s="1" t="s">
        <v>3343</v>
      </c>
      <c r="G1398" s="1" t="s">
        <v>3344</v>
      </c>
      <c r="J1398" s="1" t="s">
        <v>3845</v>
      </c>
      <c r="K1398" s="1" t="n">
        <f aca="false">IF(Search!$D$5="",0,IF(AND(OR(Search!$N$5="",ISNUMBER(SEARCH(Search!$N$5,J1398))),OR(Search!$N$6="",ISNUMBER(SEARCH(Search!$N$6,J1398))),OR(Search!$N$7="",ISNUMBER(SEARCH(Search!$N$7,J1398))),OR(Search!$N$8="",ISNUMBER(SEARCH(Search!$N$8,J1398)))),1,0))</f>
        <v>0</v>
      </c>
      <c r="L1398" s="1" t="n">
        <f aca="false">L1397+K1398</f>
        <v>0</v>
      </c>
    </row>
    <row r="1399" customFormat="false" ht="15" hidden="false" customHeight="true" outlineLevel="0" collapsed="false">
      <c r="A1399" s="1" t="s">
        <v>306</v>
      </c>
      <c r="B1399" s="1" t="s">
        <v>1221</v>
      </c>
      <c r="C1399" s="1" t="n">
        <v>92</v>
      </c>
      <c r="E1399" s="1" t="s">
        <v>2895</v>
      </c>
      <c r="F1399" s="1" t="s">
        <v>2882</v>
      </c>
      <c r="G1399" s="1" t="s">
        <v>3846</v>
      </c>
      <c r="J1399" s="1" t="s">
        <v>3847</v>
      </c>
      <c r="K1399" s="1" t="n">
        <f aca="false">IF(Search!$D$5="",0,IF(AND(OR(Search!$N$5="",ISNUMBER(SEARCH(Search!$N$5,J1399))),OR(Search!$N$6="",ISNUMBER(SEARCH(Search!$N$6,J1399))),OR(Search!$N$7="",ISNUMBER(SEARCH(Search!$N$7,J1399))),OR(Search!$N$8="",ISNUMBER(SEARCH(Search!$N$8,J1399)))),1,0))</f>
        <v>0</v>
      </c>
      <c r="L1399" s="1" t="n">
        <f aca="false">L1398+K1399</f>
        <v>0</v>
      </c>
    </row>
    <row r="1400" customFormat="false" ht="15" hidden="false" customHeight="true" outlineLevel="0" collapsed="false">
      <c r="A1400" s="1" t="s">
        <v>306</v>
      </c>
      <c r="B1400" s="1" t="s">
        <v>1221</v>
      </c>
      <c r="C1400" s="1" t="n">
        <v>93</v>
      </c>
      <c r="E1400" s="1" t="s">
        <v>745</v>
      </c>
      <c r="F1400" s="1" t="s">
        <v>3724</v>
      </c>
      <c r="G1400" s="1" t="s">
        <v>3848</v>
      </c>
      <c r="J1400" s="1" t="s">
        <v>3849</v>
      </c>
      <c r="K1400" s="1" t="n">
        <f aca="false">IF(Search!$D$5="",0,IF(AND(OR(Search!$N$5="",ISNUMBER(SEARCH(Search!$N$5,J1400))),OR(Search!$N$6="",ISNUMBER(SEARCH(Search!$N$6,J1400))),OR(Search!$N$7="",ISNUMBER(SEARCH(Search!$N$7,J1400))),OR(Search!$N$8="",ISNUMBER(SEARCH(Search!$N$8,J1400)))),1,0))</f>
        <v>0</v>
      </c>
      <c r="L1400" s="1" t="n">
        <f aca="false">L1399+K1400</f>
        <v>0</v>
      </c>
    </row>
    <row r="1401" customFormat="false" ht="15" hidden="false" customHeight="true" outlineLevel="0" collapsed="false">
      <c r="A1401" s="1" t="s">
        <v>306</v>
      </c>
      <c r="B1401" s="1" t="s">
        <v>1221</v>
      </c>
      <c r="C1401" s="1" t="n">
        <v>94</v>
      </c>
      <c r="E1401" s="1" t="s">
        <v>2723</v>
      </c>
      <c r="F1401" s="1" t="s">
        <v>3850</v>
      </c>
      <c r="G1401" s="1" t="s">
        <v>3851</v>
      </c>
      <c r="J1401" s="1" t="s">
        <v>3852</v>
      </c>
      <c r="K1401" s="1" t="n">
        <f aca="false">IF(Search!$D$5="",0,IF(AND(OR(Search!$N$5="",ISNUMBER(SEARCH(Search!$N$5,J1401))),OR(Search!$N$6="",ISNUMBER(SEARCH(Search!$N$6,J1401))),OR(Search!$N$7="",ISNUMBER(SEARCH(Search!$N$7,J1401))),OR(Search!$N$8="",ISNUMBER(SEARCH(Search!$N$8,J1401)))),1,0))</f>
        <v>0</v>
      </c>
      <c r="L1401" s="1" t="n">
        <f aca="false">L1400+K1401</f>
        <v>0</v>
      </c>
    </row>
    <row r="1402" customFormat="false" ht="15" hidden="false" customHeight="true" outlineLevel="0" collapsed="false">
      <c r="A1402" s="1" t="s">
        <v>306</v>
      </c>
      <c r="B1402" s="1" t="s">
        <v>1221</v>
      </c>
      <c r="C1402" s="1" t="n">
        <v>95</v>
      </c>
      <c r="E1402" s="1" t="s">
        <v>754</v>
      </c>
      <c r="F1402" s="1" t="s">
        <v>3853</v>
      </c>
      <c r="G1402" s="1" t="s">
        <v>3854</v>
      </c>
      <c r="J1402" s="1" t="s">
        <v>3855</v>
      </c>
      <c r="K1402" s="1" t="n">
        <f aca="false">IF(Search!$D$5="",0,IF(AND(OR(Search!$N$5="",ISNUMBER(SEARCH(Search!$N$5,J1402))),OR(Search!$N$6="",ISNUMBER(SEARCH(Search!$N$6,J1402))),OR(Search!$N$7="",ISNUMBER(SEARCH(Search!$N$7,J1402))),OR(Search!$N$8="",ISNUMBER(SEARCH(Search!$N$8,J1402)))),1,0))</f>
        <v>0</v>
      </c>
      <c r="L1402" s="1" t="n">
        <f aca="false">L1401+K1402</f>
        <v>0</v>
      </c>
    </row>
    <row r="1403" customFormat="false" ht="15" hidden="false" customHeight="true" outlineLevel="0" collapsed="false">
      <c r="A1403" s="1" t="s">
        <v>306</v>
      </c>
      <c r="B1403" s="1" t="s">
        <v>1221</v>
      </c>
      <c r="C1403" s="1" t="n">
        <v>96</v>
      </c>
      <c r="E1403" s="1" t="s">
        <v>3856</v>
      </c>
      <c r="F1403" s="1" t="s">
        <v>3857</v>
      </c>
      <c r="G1403" s="1" t="s">
        <v>3858</v>
      </c>
      <c r="J1403" s="1" t="s">
        <v>3859</v>
      </c>
      <c r="K1403" s="1" t="n">
        <f aca="false">IF(Search!$D$5="",0,IF(AND(OR(Search!$N$5="",ISNUMBER(SEARCH(Search!$N$5,J1403))),OR(Search!$N$6="",ISNUMBER(SEARCH(Search!$N$6,J1403))),OR(Search!$N$7="",ISNUMBER(SEARCH(Search!$N$7,J1403))),OR(Search!$N$8="",ISNUMBER(SEARCH(Search!$N$8,J1403)))),1,0))</f>
        <v>0</v>
      </c>
      <c r="L1403" s="1" t="n">
        <f aca="false">L1402+K1403</f>
        <v>0</v>
      </c>
    </row>
    <row r="1404" customFormat="false" ht="15" hidden="false" customHeight="true" outlineLevel="0" collapsed="false">
      <c r="A1404" s="1" t="s">
        <v>306</v>
      </c>
      <c r="B1404" s="1" t="s">
        <v>1221</v>
      </c>
      <c r="C1404" s="1" t="n">
        <v>97</v>
      </c>
      <c r="E1404" s="1" t="s">
        <v>3860</v>
      </c>
      <c r="F1404" s="1" t="s">
        <v>712</v>
      </c>
      <c r="G1404" s="1" t="s">
        <v>3861</v>
      </c>
      <c r="J1404" s="1" t="s">
        <v>3862</v>
      </c>
      <c r="K1404" s="1" t="n">
        <f aca="false">IF(Search!$D$5="",0,IF(AND(OR(Search!$N$5="",ISNUMBER(SEARCH(Search!$N$5,J1404))),OR(Search!$N$6="",ISNUMBER(SEARCH(Search!$N$6,J1404))),OR(Search!$N$7="",ISNUMBER(SEARCH(Search!$N$7,J1404))),OR(Search!$N$8="",ISNUMBER(SEARCH(Search!$N$8,J1404)))),1,0))</f>
        <v>0</v>
      </c>
      <c r="L1404" s="1" t="n">
        <f aca="false">L1403+K1404</f>
        <v>0</v>
      </c>
    </row>
    <row r="1405" customFormat="false" ht="15" hidden="false" customHeight="true" outlineLevel="0" collapsed="false">
      <c r="A1405" s="1" t="s">
        <v>306</v>
      </c>
      <c r="B1405" s="1" t="s">
        <v>1221</v>
      </c>
      <c r="C1405" s="1" t="n">
        <v>98</v>
      </c>
      <c r="E1405" s="1" t="s">
        <v>755</v>
      </c>
      <c r="F1405" s="1" t="s">
        <v>3863</v>
      </c>
      <c r="G1405" s="1" t="s">
        <v>3864</v>
      </c>
      <c r="J1405" s="1" t="s">
        <v>3865</v>
      </c>
      <c r="K1405" s="1" t="n">
        <f aca="false">IF(Search!$D$5="",0,IF(AND(OR(Search!$N$5="",ISNUMBER(SEARCH(Search!$N$5,J1405))),OR(Search!$N$6="",ISNUMBER(SEARCH(Search!$N$6,J1405))),OR(Search!$N$7="",ISNUMBER(SEARCH(Search!$N$7,J1405))),OR(Search!$N$8="",ISNUMBER(SEARCH(Search!$N$8,J1405)))),1,0))</f>
        <v>0</v>
      </c>
      <c r="L1405" s="1" t="n">
        <f aca="false">L1404+K1405</f>
        <v>0</v>
      </c>
    </row>
    <row r="1406" customFormat="false" ht="15" hidden="false" customHeight="true" outlineLevel="0" collapsed="false">
      <c r="A1406" s="1" t="s">
        <v>306</v>
      </c>
      <c r="B1406" s="1" t="s">
        <v>1221</v>
      </c>
      <c r="C1406" s="1" t="n">
        <v>99</v>
      </c>
      <c r="E1406" s="1" t="s">
        <v>712</v>
      </c>
      <c r="F1406" s="1" t="s">
        <v>3866</v>
      </c>
      <c r="G1406" s="1" t="s">
        <v>3867</v>
      </c>
      <c r="J1406" s="1" t="s">
        <v>3868</v>
      </c>
      <c r="K1406" s="1" t="n">
        <f aca="false">IF(Search!$D$5="",0,IF(AND(OR(Search!$N$5="",ISNUMBER(SEARCH(Search!$N$5,J1406))),OR(Search!$N$6="",ISNUMBER(SEARCH(Search!$N$6,J1406))),OR(Search!$N$7="",ISNUMBER(SEARCH(Search!$N$7,J1406))),OR(Search!$N$8="",ISNUMBER(SEARCH(Search!$N$8,J1406)))),1,0))</f>
        <v>0</v>
      </c>
      <c r="L1406" s="1" t="n">
        <f aca="false">L1405+K1406</f>
        <v>0</v>
      </c>
    </row>
    <row r="1407" customFormat="false" ht="15" hidden="false" customHeight="true" outlineLevel="0" collapsed="false">
      <c r="A1407" s="1" t="s">
        <v>306</v>
      </c>
      <c r="B1407" s="1" t="s">
        <v>1221</v>
      </c>
      <c r="C1407" s="1" t="n">
        <v>100</v>
      </c>
      <c r="E1407" s="1" t="s">
        <v>621</v>
      </c>
      <c r="F1407" s="1" t="s">
        <v>3869</v>
      </c>
      <c r="G1407" s="1" t="s">
        <v>3870</v>
      </c>
      <c r="J1407" s="1" t="s">
        <v>3871</v>
      </c>
      <c r="K1407" s="1" t="n">
        <f aca="false">IF(Search!$D$5="",0,IF(AND(OR(Search!$N$5="",ISNUMBER(SEARCH(Search!$N$5,J1407))),OR(Search!$N$6="",ISNUMBER(SEARCH(Search!$N$6,J1407))),OR(Search!$N$7="",ISNUMBER(SEARCH(Search!$N$7,J1407))),OR(Search!$N$8="",ISNUMBER(SEARCH(Search!$N$8,J1407)))),1,0))</f>
        <v>0</v>
      </c>
      <c r="L1407" s="1" t="n">
        <f aca="false">L1406+K1407</f>
        <v>0</v>
      </c>
    </row>
    <row r="1408" customFormat="false" ht="15" hidden="false" customHeight="true" outlineLevel="0" collapsed="false">
      <c r="A1408" s="1" t="s">
        <v>306</v>
      </c>
      <c r="B1408" s="1" t="s">
        <v>1221</v>
      </c>
      <c r="C1408" s="1" t="n">
        <v>101</v>
      </c>
      <c r="E1408" s="1" t="s">
        <v>716</v>
      </c>
      <c r="F1408" s="1" t="s">
        <v>3872</v>
      </c>
      <c r="G1408" s="1" t="s">
        <v>3873</v>
      </c>
      <c r="J1408" s="1" t="s">
        <v>3874</v>
      </c>
      <c r="K1408" s="1" t="n">
        <f aca="false">IF(Search!$D$5="",0,IF(AND(OR(Search!$N$5="",ISNUMBER(SEARCH(Search!$N$5,J1408))),OR(Search!$N$6="",ISNUMBER(SEARCH(Search!$N$6,J1408))),OR(Search!$N$7="",ISNUMBER(SEARCH(Search!$N$7,J1408))),OR(Search!$N$8="",ISNUMBER(SEARCH(Search!$N$8,J1408)))),1,0))</f>
        <v>0</v>
      </c>
      <c r="L1408" s="1" t="n">
        <f aca="false">L1407+K1408</f>
        <v>0</v>
      </c>
    </row>
    <row r="1409" customFormat="false" ht="15" hidden="false" customHeight="true" outlineLevel="0" collapsed="false">
      <c r="A1409" s="1" t="s">
        <v>306</v>
      </c>
      <c r="B1409" s="1" t="s">
        <v>1221</v>
      </c>
      <c r="C1409" s="1" t="n">
        <v>102</v>
      </c>
      <c r="E1409" s="1" t="s">
        <v>3875</v>
      </c>
      <c r="F1409" s="1" t="s">
        <v>3876</v>
      </c>
      <c r="G1409" s="1" t="s">
        <v>3877</v>
      </c>
      <c r="J1409" s="1" t="s">
        <v>3878</v>
      </c>
      <c r="K1409" s="1" t="n">
        <f aca="false">IF(Search!$D$5="",0,IF(AND(OR(Search!$N$5="",ISNUMBER(SEARCH(Search!$N$5,J1409))),OR(Search!$N$6="",ISNUMBER(SEARCH(Search!$N$6,J1409))),OR(Search!$N$7="",ISNUMBER(SEARCH(Search!$N$7,J1409))),OR(Search!$N$8="",ISNUMBER(SEARCH(Search!$N$8,J1409)))),1,0))</f>
        <v>0</v>
      </c>
      <c r="L1409" s="1" t="n">
        <f aca="false">L1408+K1409</f>
        <v>0</v>
      </c>
    </row>
    <row r="1410" customFormat="false" ht="15" hidden="false" customHeight="true" outlineLevel="0" collapsed="false">
      <c r="A1410" s="1" t="s">
        <v>306</v>
      </c>
      <c r="B1410" s="1" t="s">
        <v>1221</v>
      </c>
      <c r="C1410" s="1" t="n">
        <v>103</v>
      </c>
      <c r="E1410" s="1" t="s">
        <v>732</v>
      </c>
      <c r="F1410" s="1" t="s">
        <v>401</v>
      </c>
      <c r="G1410" s="1" t="s">
        <v>3879</v>
      </c>
      <c r="J1410" s="1" t="s">
        <v>3880</v>
      </c>
      <c r="K1410" s="1" t="n">
        <f aca="false">IF(Search!$D$5="",0,IF(AND(OR(Search!$N$5="",ISNUMBER(SEARCH(Search!$N$5,J1410))),OR(Search!$N$6="",ISNUMBER(SEARCH(Search!$N$6,J1410))),OR(Search!$N$7="",ISNUMBER(SEARCH(Search!$N$7,J1410))),OR(Search!$N$8="",ISNUMBER(SEARCH(Search!$N$8,J1410)))),1,0))</f>
        <v>0</v>
      </c>
      <c r="L1410" s="1" t="n">
        <f aca="false">L1409+K1410</f>
        <v>0</v>
      </c>
    </row>
    <row r="1411" customFormat="false" ht="15" hidden="false" customHeight="true" outlineLevel="0" collapsed="false">
      <c r="A1411" s="1" t="s">
        <v>306</v>
      </c>
      <c r="B1411" s="1" t="s">
        <v>1221</v>
      </c>
      <c r="C1411" s="1" t="n">
        <v>104</v>
      </c>
      <c r="E1411" s="1" t="s">
        <v>2737</v>
      </c>
      <c r="F1411" s="1" t="s">
        <v>3881</v>
      </c>
      <c r="G1411" s="1" t="s">
        <v>3882</v>
      </c>
      <c r="J1411" s="1" t="s">
        <v>3883</v>
      </c>
      <c r="K1411" s="1" t="n">
        <f aca="false">IF(Search!$D$5="",0,IF(AND(OR(Search!$N$5="",ISNUMBER(SEARCH(Search!$N$5,J1411))),OR(Search!$N$6="",ISNUMBER(SEARCH(Search!$N$6,J1411))),OR(Search!$N$7="",ISNUMBER(SEARCH(Search!$N$7,J1411))),OR(Search!$N$8="",ISNUMBER(SEARCH(Search!$N$8,J1411)))),1,0))</f>
        <v>0</v>
      </c>
      <c r="L1411" s="1" t="n">
        <f aca="false">L1410+K1411</f>
        <v>0</v>
      </c>
    </row>
    <row r="1412" customFormat="false" ht="15" hidden="false" customHeight="true" outlineLevel="0" collapsed="false">
      <c r="A1412" s="1" t="s">
        <v>306</v>
      </c>
      <c r="B1412" s="1" t="s">
        <v>1221</v>
      </c>
      <c r="C1412" s="1" t="n">
        <v>105</v>
      </c>
      <c r="E1412" s="1" t="s">
        <v>3884</v>
      </c>
      <c r="F1412" s="1" t="s">
        <v>3885</v>
      </c>
      <c r="G1412" s="1" t="s">
        <v>3886</v>
      </c>
      <c r="J1412" s="1" t="s">
        <v>3887</v>
      </c>
      <c r="K1412" s="1" t="n">
        <f aca="false">IF(Search!$D$5="",0,IF(AND(OR(Search!$N$5="",ISNUMBER(SEARCH(Search!$N$5,J1412))),OR(Search!$N$6="",ISNUMBER(SEARCH(Search!$N$6,J1412))),OR(Search!$N$7="",ISNUMBER(SEARCH(Search!$N$7,J1412))),OR(Search!$N$8="",ISNUMBER(SEARCH(Search!$N$8,J1412)))),1,0))</f>
        <v>0</v>
      </c>
      <c r="L1412" s="1" t="n">
        <f aca="false">L1411+K1412</f>
        <v>0</v>
      </c>
    </row>
    <row r="1413" customFormat="false" ht="15" hidden="false" customHeight="true" outlineLevel="0" collapsed="false">
      <c r="A1413" s="1" t="s">
        <v>306</v>
      </c>
      <c r="B1413" s="1" t="s">
        <v>1221</v>
      </c>
      <c r="C1413" s="1" t="n">
        <v>106</v>
      </c>
      <c r="E1413" s="1" t="s">
        <v>750</v>
      </c>
      <c r="F1413" s="1" t="s">
        <v>3888</v>
      </c>
      <c r="G1413" s="1" t="s">
        <v>3889</v>
      </c>
      <c r="J1413" s="1" t="s">
        <v>3890</v>
      </c>
      <c r="K1413" s="1" t="n">
        <f aca="false">IF(Search!$D$5="",0,IF(AND(OR(Search!$N$5="",ISNUMBER(SEARCH(Search!$N$5,J1413))),OR(Search!$N$6="",ISNUMBER(SEARCH(Search!$N$6,J1413))),OR(Search!$N$7="",ISNUMBER(SEARCH(Search!$N$7,J1413))),OR(Search!$N$8="",ISNUMBER(SEARCH(Search!$N$8,J1413)))),1,0))</f>
        <v>0</v>
      </c>
      <c r="L1413" s="1" t="n">
        <f aca="false">L1412+K1413</f>
        <v>0</v>
      </c>
    </row>
    <row r="1414" customFormat="false" ht="15" hidden="false" customHeight="true" outlineLevel="0" collapsed="false">
      <c r="A1414" s="1" t="s">
        <v>306</v>
      </c>
      <c r="B1414" s="1" t="s">
        <v>1221</v>
      </c>
      <c r="C1414" s="1" t="n">
        <v>107</v>
      </c>
      <c r="E1414" s="1" t="s">
        <v>2926</v>
      </c>
      <c r="F1414" s="1" t="s">
        <v>3891</v>
      </c>
      <c r="G1414" s="1" t="s">
        <v>3892</v>
      </c>
      <c r="J1414" s="1" t="s">
        <v>3893</v>
      </c>
      <c r="K1414" s="1" t="n">
        <f aca="false">IF(Search!$D$5="",0,IF(AND(OR(Search!$N$5="",ISNUMBER(SEARCH(Search!$N$5,J1414))),OR(Search!$N$6="",ISNUMBER(SEARCH(Search!$N$6,J1414))),OR(Search!$N$7="",ISNUMBER(SEARCH(Search!$N$7,J1414))),OR(Search!$N$8="",ISNUMBER(SEARCH(Search!$N$8,J1414)))),1,0))</f>
        <v>0</v>
      </c>
      <c r="L1414" s="1" t="n">
        <f aca="false">L1413+K1414</f>
        <v>0</v>
      </c>
    </row>
    <row r="1415" customFormat="false" ht="15" hidden="false" customHeight="true" outlineLevel="0" collapsed="false">
      <c r="A1415" s="1" t="s">
        <v>306</v>
      </c>
      <c r="B1415" s="1" t="s">
        <v>1221</v>
      </c>
      <c r="C1415" s="1" t="n">
        <v>108</v>
      </c>
      <c r="E1415" s="1" t="s">
        <v>759</v>
      </c>
      <c r="F1415" s="1" t="s">
        <v>3894</v>
      </c>
      <c r="G1415" s="1" t="s">
        <v>3895</v>
      </c>
      <c r="J1415" s="1" t="s">
        <v>3896</v>
      </c>
      <c r="K1415" s="1" t="n">
        <f aca="false">IF(Search!$D$5="",0,IF(AND(OR(Search!$N$5="",ISNUMBER(SEARCH(Search!$N$5,J1415))),OR(Search!$N$6="",ISNUMBER(SEARCH(Search!$N$6,J1415))),OR(Search!$N$7="",ISNUMBER(SEARCH(Search!$N$7,J1415))),OR(Search!$N$8="",ISNUMBER(SEARCH(Search!$N$8,J1415)))),1,0))</f>
        <v>0</v>
      </c>
      <c r="L1415" s="1" t="n">
        <f aca="false">L1414+K1415</f>
        <v>0</v>
      </c>
    </row>
    <row r="1416" customFormat="false" ht="15" hidden="false" customHeight="true" outlineLevel="0" collapsed="false">
      <c r="A1416" s="1" t="s">
        <v>306</v>
      </c>
      <c r="B1416" s="1" t="s">
        <v>1221</v>
      </c>
      <c r="C1416" s="1" t="n">
        <v>109</v>
      </c>
      <c r="E1416" s="1" t="s">
        <v>729</v>
      </c>
      <c r="F1416" s="1" t="s">
        <v>3897</v>
      </c>
      <c r="G1416" s="1" t="s">
        <v>3898</v>
      </c>
      <c r="J1416" s="1" t="s">
        <v>3899</v>
      </c>
      <c r="K1416" s="1" t="n">
        <f aca="false">IF(Search!$D$5="",0,IF(AND(OR(Search!$N$5="",ISNUMBER(SEARCH(Search!$N$5,J1416))),OR(Search!$N$6="",ISNUMBER(SEARCH(Search!$N$6,J1416))),OR(Search!$N$7="",ISNUMBER(SEARCH(Search!$N$7,J1416))),OR(Search!$N$8="",ISNUMBER(SEARCH(Search!$N$8,J1416)))),1,0))</f>
        <v>0</v>
      </c>
      <c r="L1416" s="1" t="n">
        <f aca="false">L1415+K1416</f>
        <v>0</v>
      </c>
    </row>
    <row r="1417" customFormat="false" ht="16.5" hidden="false" customHeight="true" outlineLevel="0" collapsed="false">
      <c r="A1417" s="1" t="s">
        <v>306</v>
      </c>
      <c r="B1417" s="1" t="s">
        <v>1221</v>
      </c>
      <c r="C1417" s="1" t="n">
        <v>112</v>
      </c>
      <c r="E1417" s="1" t="s">
        <v>3900</v>
      </c>
      <c r="J1417" s="1" t="s">
        <v>3900</v>
      </c>
      <c r="K1417" s="1" t="n">
        <f aca="false">IF(Search!$D$5="",0,IF(AND(OR(Search!$N$5="",ISNUMBER(SEARCH(Search!$N$5,J1417))),OR(Search!$N$6="",ISNUMBER(SEARCH(Search!$N$6,J1417))),OR(Search!$N$7="",ISNUMBER(SEARCH(Search!$N$7,J1417))),OR(Search!$N$8="",ISNUMBER(SEARCH(Search!$N$8,J1417)))),1,0))</f>
        <v>0</v>
      </c>
      <c r="L1417" s="1" t="n">
        <f aca="false">L1416+K1417</f>
        <v>0</v>
      </c>
    </row>
    <row r="1418" customFormat="false" ht="54.75" hidden="false" customHeight="true" outlineLevel="0" collapsed="false">
      <c r="A1418" s="1" t="s">
        <v>306</v>
      </c>
      <c r="B1418" s="1" t="s">
        <v>1221</v>
      </c>
      <c r="C1418" s="1" t="n">
        <v>113</v>
      </c>
      <c r="E1418" s="46" t="s">
        <v>3637</v>
      </c>
      <c r="F1418" s="46" t="s">
        <v>3901</v>
      </c>
      <c r="G1418" s="46" t="s">
        <v>3739</v>
      </c>
      <c r="J1418" s="46" t="s">
        <v>3902</v>
      </c>
      <c r="K1418" s="1" t="n">
        <f aca="false">IF(Search!$D$5="",0,IF(AND(OR(Search!$N$5="",ISNUMBER(SEARCH(Search!$N$5,J1418))),OR(Search!$N$6="",ISNUMBER(SEARCH(Search!$N$6,J1418))),OR(Search!$N$7="",ISNUMBER(SEARCH(Search!$N$7,J1418))),OR(Search!$N$8="",ISNUMBER(SEARCH(Search!$N$8,J1418)))),1,0))</f>
        <v>0</v>
      </c>
      <c r="L1418" s="1" t="n">
        <f aca="false">L1417+K1418</f>
        <v>0</v>
      </c>
    </row>
    <row r="1419" customFormat="false" ht="15" hidden="false" customHeight="true" outlineLevel="0" collapsed="false">
      <c r="A1419" s="1" t="s">
        <v>306</v>
      </c>
      <c r="B1419" s="1" t="s">
        <v>1221</v>
      </c>
      <c r="C1419" s="1" t="n">
        <v>114</v>
      </c>
      <c r="E1419" s="1" t="s">
        <v>3903</v>
      </c>
      <c r="F1419" s="1" t="s">
        <v>3904</v>
      </c>
      <c r="G1419" s="1" t="s">
        <v>3905</v>
      </c>
      <c r="J1419" s="1" t="s">
        <v>3906</v>
      </c>
      <c r="K1419" s="1" t="n">
        <f aca="false">IF(Search!$D$5="",0,IF(AND(OR(Search!$N$5="",ISNUMBER(SEARCH(Search!$N$5,J1419))),OR(Search!$N$6="",ISNUMBER(SEARCH(Search!$N$6,J1419))),OR(Search!$N$7="",ISNUMBER(SEARCH(Search!$N$7,J1419))),OR(Search!$N$8="",ISNUMBER(SEARCH(Search!$N$8,J1419)))),1,0))</f>
        <v>0</v>
      </c>
      <c r="L1419" s="1" t="n">
        <f aca="false">L1418+K1419</f>
        <v>0</v>
      </c>
    </row>
    <row r="1420" customFormat="false" ht="15" hidden="false" customHeight="true" outlineLevel="0" collapsed="false">
      <c r="A1420" s="1" t="s">
        <v>306</v>
      </c>
      <c r="B1420" s="1" t="s">
        <v>1221</v>
      </c>
      <c r="C1420" s="1" t="n">
        <v>115</v>
      </c>
      <c r="E1420" s="1" t="s">
        <v>3907</v>
      </c>
      <c r="F1420" s="1" t="s">
        <v>3908</v>
      </c>
      <c r="G1420" s="1" t="s">
        <v>3909</v>
      </c>
      <c r="J1420" s="1" t="s">
        <v>3910</v>
      </c>
      <c r="K1420" s="1" t="n">
        <f aca="false">IF(Search!$D$5="",0,IF(AND(OR(Search!$N$5="",ISNUMBER(SEARCH(Search!$N$5,J1420))),OR(Search!$N$6="",ISNUMBER(SEARCH(Search!$N$6,J1420))),OR(Search!$N$7="",ISNUMBER(SEARCH(Search!$N$7,J1420))),OR(Search!$N$8="",ISNUMBER(SEARCH(Search!$N$8,J1420)))),1,0))</f>
        <v>0</v>
      </c>
      <c r="L1420" s="1" t="n">
        <f aca="false">L1419+K1420</f>
        <v>0</v>
      </c>
    </row>
    <row r="1421" customFormat="false" ht="15" hidden="false" customHeight="true" outlineLevel="0" collapsed="false">
      <c r="A1421" s="1" t="s">
        <v>306</v>
      </c>
      <c r="B1421" s="1" t="s">
        <v>1221</v>
      </c>
      <c r="C1421" s="1" t="n">
        <v>116</v>
      </c>
      <c r="E1421" s="1" t="s">
        <v>1943</v>
      </c>
      <c r="F1421" s="1" t="s">
        <v>524</v>
      </c>
      <c r="G1421" s="1" t="s">
        <v>3911</v>
      </c>
      <c r="J1421" s="1" t="s">
        <v>3912</v>
      </c>
      <c r="K1421" s="1" t="n">
        <f aca="false">IF(Search!$D$5="",0,IF(AND(OR(Search!$N$5="",ISNUMBER(SEARCH(Search!$N$5,J1421))),OR(Search!$N$6="",ISNUMBER(SEARCH(Search!$N$6,J1421))),OR(Search!$N$7="",ISNUMBER(SEARCH(Search!$N$7,J1421))),OR(Search!$N$8="",ISNUMBER(SEARCH(Search!$N$8,J1421)))),1,0))</f>
        <v>0</v>
      </c>
      <c r="L1421" s="1" t="n">
        <f aca="false">L1420+K1421</f>
        <v>0</v>
      </c>
    </row>
    <row r="1422" customFormat="false" ht="15" hidden="false" customHeight="true" outlineLevel="0" collapsed="false">
      <c r="A1422" s="1" t="s">
        <v>306</v>
      </c>
      <c r="B1422" s="1" t="s">
        <v>1221</v>
      </c>
      <c r="C1422" s="1" t="n">
        <v>117</v>
      </c>
      <c r="E1422" s="1" t="s">
        <v>3913</v>
      </c>
      <c r="F1422" s="1" t="s">
        <v>3914</v>
      </c>
      <c r="G1422" s="1" t="s">
        <v>3915</v>
      </c>
      <c r="J1422" s="1" t="s">
        <v>3916</v>
      </c>
      <c r="K1422" s="1" t="n">
        <f aca="false">IF(Search!$D$5="",0,IF(AND(OR(Search!$N$5="",ISNUMBER(SEARCH(Search!$N$5,J1422))),OR(Search!$N$6="",ISNUMBER(SEARCH(Search!$N$6,J1422))),OR(Search!$N$7="",ISNUMBER(SEARCH(Search!$N$7,J1422))),OR(Search!$N$8="",ISNUMBER(SEARCH(Search!$N$8,J1422)))),1,0))</f>
        <v>0</v>
      </c>
      <c r="L1422" s="1" t="n">
        <f aca="false">L1421+K1422</f>
        <v>0</v>
      </c>
    </row>
    <row r="1423" customFormat="false" ht="15" hidden="false" customHeight="true" outlineLevel="0" collapsed="false">
      <c r="A1423" s="1" t="s">
        <v>306</v>
      </c>
      <c r="B1423" s="1" t="s">
        <v>1221</v>
      </c>
      <c r="C1423" s="1" t="n">
        <v>118</v>
      </c>
      <c r="E1423" s="1" t="s">
        <v>3917</v>
      </c>
      <c r="F1423" s="1" t="s">
        <v>3918</v>
      </c>
      <c r="G1423" s="1" t="s">
        <v>3751</v>
      </c>
      <c r="J1423" s="1" t="s">
        <v>3919</v>
      </c>
      <c r="K1423" s="1" t="n">
        <f aca="false">IF(Search!$D$5="",0,IF(AND(OR(Search!$N$5="",ISNUMBER(SEARCH(Search!$N$5,J1423))),OR(Search!$N$6="",ISNUMBER(SEARCH(Search!$N$6,J1423))),OR(Search!$N$7="",ISNUMBER(SEARCH(Search!$N$7,J1423))),OR(Search!$N$8="",ISNUMBER(SEARCH(Search!$N$8,J1423)))),1,0))</f>
        <v>0</v>
      </c>
      <c r="L1423" s="1" t="n">
        <f aca="false">L1422+K1423</f>
        <v>0</v>
      </c>
    </row>
    <row r="1424" customFormat="false" ht="15" hidden="false" customHeight="true" outlineLevel="0" collapsed="false">
      <c r="A1424" s="1" t="s">
        <v>306</v>
      </c>
      <c r="B1424" s="1" t="s">
        <v>1221</v>
      </c>
      <c r="C1424" s="1" t="n">
        <v>119</v>
      </c>
      <c r="E1424" s="1" t="s">
        <v>3920</v>
      </c>
      <c r="F1424" s="1" t="s">
        <v>3921</v>
      </c>
      <c r="G1424" s="1" t="s">
        <v>2763</v>
      </c>
      <c r="J1424" s="1" t="s">
        <v>3922</v>
      </c>
      <c r="K1424" s="1" t="n">
        <f aca="false">IF(Search!$D$5="",0,IF(AND(OR(Search!$N$5="",ISNUMBER(SEARCH(Search!$N$5,J1424))),OR(Search!$N$6="",ISNUMBER(SEARCH(Search!$N$6,J1424))),OR(Search!$N$7="",ISNUMBER(SEARCH(Search!$N$7,J1424))),OR(Search!$N$8="",ISNUMBER(SEARCH(Search!$N$8,J1424)))),1,0))</f>
        <v>0</v>
      </c>
      <c r="L1424" s="1" t="n">
        <f aca="false">L1423+K1424</f>
        <v>0</v>
      </c>
    </row>
    <row r="1425" customFormat="false" ht="15" hidden="false" customHeight="true" outlineLevel="0" collapsed="false">
      <c r="A1425" s="1" t="s">
        <v>306</v>
      </c>
      <c r="B1425" s="1" t="s">
        <v>1221</v>
      </c>
      <c r="C1425" s="1" t="n">
        <v>120</v>
      </c>
      <c r="E1425" s="1" t="s">
        <v>3923</v>
      </c>
      <c r="F1425" s="1" t="s">
        <v>2679</v>
      </c>
      <c r="G1425" s="1" t="s">
        <v>3924</v>
      </c>
      <c r="J1425" s="1" t="s">
        <v>3925</v>
      </c>
      <c r="K1425" s="1" t="n">
        <f aca="false">IF(Search!$D$5="",0,IF(AND(OR(Search!$N$5="",ISNUMBER(SEARCH(Search!$N$5,J1425))),OR(Search!$N$6="",ISNUMBER(SEARCH(Search!$N$6,J1425))),OR(Search!$N$7="",ISNUMBER(SEARCH(Search!$N$7,J1425))),OR(Search!$N$8="",ISNUMBER(SEARCH(Search!$N$8,J1425)))),1,0))</f>
        <v>0</v>
      </c>
      <c r="L1425" s="1" t="n">
        <f aca="false">L1424+K1425</f>
        <v>0</v>
      </c>
    </row>
    <row r="1426" customFormat="false" ht="15" hidden="false" customHeight="true" outlineLevel="0" collapsed="false">
      <c r="A1426" s="1" t="s">
        <v>306</v>
      </c>
      <c r="B1426" s="1" t="s">
        <v>1221</v>
      </c>
      <c r="C1426" s="1" t="n">
        <v>121</v>
      </c>
      <c r="E1426" s="1" t="s">
        <v>2746</v>
      </c>
      <c r="F1426" s="1" t="s">
        <v>524</v>
      </c>
      <c r="G1426" s="1" t="s">
        <v>3743</v>
      </c>
      <c r="J1426" s="1" t="s">
        <v>3926</v>
      </c>
      <c r="K1426" s="1" t="n">
        <f aca="false">IF(Search!$D$5="",0,IF(AND(OR(Search!$N$5="",ISNUMBER(SEARCH(Search!$N$5,J1426))),OR(Search!$N$6="",ISNUMBER(SEARCH(Search!$N$6,J1426))),OR(Search!$N$7="",ISNUMBER(SEARCH(Search!$N$7,J1426))),OR(Search!$N$8="",ISNUMBER(SEARCH(Search!$N$8,J1426)))),1,0))</f>
        <v>0</v>
      </c>
      <c r="L1426" s="1" t="n">
        <f aca="false">L1425+K1426</f>
        <v>0</v>
      </c>
    </row>
    <row r="1427" customFormat="false" ht="15" hidden="false" customHeight="true" outlineLevel="0" collapsed="false">
      <c r="A1427" s="1" t="s">
        <v>306</v>
      </c>
      <c r="B1427" s="1" t="s">
        <v>1221</v>
      </c>
      <c r="C1427" s="1" t="n">
        <v>122</v>
      </c>
      <c r="E1427" s="1" t="s">
        <v>2061</v>
      </c>
      <c r="F1427" s="1" t="s">
        <v>524</v>
      </c>
      <c r="G1427" s="1" t="s">
        <v>1332</v>
      </c>
      <c r="J1427" s="1" t="s">
        <v>3927</v>
      </c>
      <c r="K1427" s="1" t="n">
        <f aca="false">IF(Search!$D$5="",0,IF(AND(OR(Search!$N$5="",ISNUMBER(SEARCH(Search!$N$5,J1427))),OR(Search!$N$6="",ISNUMBER(SEARCH(Search!$N$6,J1427))),OR(Search!$N$7="",ISNUMBER(SEARCH(Search!$N$7,J1427))),OR(Search!$N$8="",ISNUMBER(SEARCH(Search!$N$8,J1427)))),1,0))</f>
        <v>0</v>
      </c>
      <c r="L1427" s="1" t="n">
        <f aca="false">L1426+K1427</f>
        <v>0</v>
      </c>
    </row>
    <row r="1428" customFormat="false" ht="15" hidden="false" customHeight="true" outlineLevel="0" collapsed="false">
      <c r="A1428" s="1" t="s">
        <v>306</v>
      </c>
      <c r="B1428" s="1" t="s">
        <v>1221</v>
      </c>
      <c r="C1428" s="1" t="n">
        <v>123</v>
      </c>
      <c r="E1428" s="1" t="s">
        <v>3928</v>
      </c>
      <c r="F1428" s="1" t="s">
        <v>3929</v>
      </c>
      <c r="G1428" s="1" t="s">
        <v>3930</v>
      </c>
      <c r="J1428" s="1" t="s">
        <v>3931</v>
      </c>
      <c r="K1428" s="1" t="n">
        <f aca="false">IF(Search!$D$5="",0,IF(AND(OR(Search!$N$5="",ISNUMBER(SEARCH(Search!$N$5,J1428))),OR(Search!$N$6="",ISNUMBER(SEARCH(Search!$N$6,J1428))),OR(Search!$N$7="",ISNUMBER(SEARCH(Search!$N$7,J1428))),OR(Search!$N$8="",ISNUMBER(SEARCH(Search!$N$8,J1428)))),1,0))</f>
        <v>0</v>
      </c>
      <c r="L1428" s="1" t="n">
        <f aca="false">L1427+K1428</f>
        <v>0</v>
      </c>
    </row>
    <row r="1429" customFormat="false" ht="15" hidden="false" customHeight="true" outlineLevel="0" collapsed="false">
      <c r="A1429" s="1" t="s">
        <v>306</v>
      </c>
      <c r="B1429" s="1" t="s">
        <v>1221</v>
      </c>
      <c r="C1429" s="1" t="n">
        <v>124</v>
      </c>
      <c r="E1429" s="1" t="s">
        <v>2081</v>
      </c>
      <c r="F1429" s="1" t="s">
        <v>524</v>
      </c>
      <c r="G1429" s="1" t="s">
        <v>3930</v>
      </c>
      <c r="J1429" s="1" t="s">
        <v>3932</v>
      </c>
      <c r="K1429" s="1" t="n">
        <f aca="false">IF(Search!$D$5="",0,IF(AND(OR(Search!$N$5="",ISNUMBER(SEARCH(Search!$N$5,J1429))),OR(Search!$N$6="",ISNUMBER(SEARCH(Search!$N$6,J1429))),OR(Search!$N$7="",ISNUMBER(SEARCH(Search!$N$7,J1429))),OR(Search!$N$8="",ISNUMBER(SEARCH(Search!$N$8,J1429)))),1,0))</f>
        <v>0</v>
      </c>
      <c r="L1429" s="1" t="n">
        <f aca="false">L1428+K1429</f>
        <v>0</v>
      </c>
    </row>
    <row r="1430" customFormat="false" ht="15" hidden="false" customHeight="true" outlineLevel="0" collapsed="false">
      <c r="A1430" s="1" t="s">
        <v>306</v>
      </c>
      <c r="B1430" s="1" t="s">
        <v>1221</v>
      </c>
      <c r="C1430" s="1" t="n">
        <v>125</v>
      </c>
      <c r="E1430" s="1" t="s">
        <v>588</v>
      </c>
      <c r="F1430" s="1" t="s">
        <v>524</v>
      </c>
      <c r="G1430" s="1" t="s">
        <v>3933</v>
      </c>
      <c r="J1430" s="1" t="s">
        <v>3934</v>
      </c>
      <c r="K1430" s="1" t="n">
        <f aca="false">IF(Search!$D$5="",0,IF(AND(OR(Search!$N$5="",ISNUMBER(SEARCH(Search!$N$5,J1430))),OR(Search!$N$6="",ISNUMBER(SEARCH(Search!$N$6,J1430))),OR(Search!$N$7="",ISNUMBER(SEARCH(Search!$N$7,J1430))),OR(Search!$N$8="",ISNUMBER(SEARCH(Search!$N$8,J1430)))),1,0))</f>
        <v>0</v>
      </c>
      <c r="L1430" s="1" t="n">
        <f aca="false">L1429+K1430</f>
        <v>0</v>
      </c>
    </row>
    <row r="1431" customFormat="false" ht="15" hidden="false" customHeight="true" outlineLevel="0" collapsed="false">
      <c r="A1431" s="1" t="s">
        <v>306</v>
      </c>
      <c r="B1431" s="1" t="s">
        <v>1221</v>
      </c>
      <c r="C1431" s="1" t="n">
        <v>126</v>
      </c>
      <c r="E1431" s="1" t="s">
        <v>3935</v>
      </c>
      <c r="F1431" s="1" t="s">
        <v>3936</v>
      </c>
      <c r="G1431" s="1" t="s">
        <v>3937</v>
      </c>
      <c r="J1431" s="1" t="s">
        <v>3938</v>
      </c>
      <c r="K1431" s="1" t="n">
        <f aca="false">IF(Search!$D$5="",0,IF(AND(OR(Search!$N$5="",ISNUMBER(SEARCH(Search!$N$5,J1431))),OR(Search!$N$6="",ISNUMBER(SEARCH(Search!$N$6,J1431))),OR(Search!$N$7="",ISNUMBER(SEARCH(Search!$N$7,J1431))),OR(Search!$N$8="",ISNUMBER(SEARCH(Search!$N$8,J1431)))),1,0))</f>
        <v>0</v>
      </c>
      <c r="L1431" s="1" t="n">
        <f aca="false">L1430+K1431</f>
        <v>0</v>
      </c>
    </row>
    <row r="1432" customFormat="false" ht="15" hidden="false" customHeight="true" outlineLevel="0" collapsed="false">
      <c r="A1432" s="1" t="s">
        <v>306</v>
      </c>
      <c r="B1432" s="1" t="s">
        <v>1221</v>
      </c>
      <c r="C1432" s="1" t="n">
        <v>127</v>
      </c>
      <c r="E1432" s="1" t="s">
        <v>580</v>
      </c>
      <c r="F1432" s="1" t="s">
        <v>524</v>
      </c>
      <c r="G1432" s="1" t="s">
        <v>3939</v>
      </c>
      <c r="J1432" s="1" t="s">
        <v>3940</v>
      </c>
      <c r="K1432" s="1" t="n">
        <f aca="false">IF(Search!$D$5="",0,IF(AND(OR(Search!$N$5="",ISNUMBER(SEARCH(Search!$N$5,J1432))),OR(Search!$N$6="",ISNUMBER(SEARCH(Search!$N$6,J1432))),OR(Search!$N$7="",ISNUMBER(SEARCH(Search!$N$7,J1432))),OR(Search!$N$8="",ISNUMBER(SEARCH(Search!$N$8,J1432)))),1,0))</f>
        <v>0</v>
      </c>
      <c r="L1432" s="1" t="n">
        <f aca="false">L1431+K1432</f>
        <v>0</v>
      </c>
    </row>
    <row r="1433" customFormat="false" ht="15" hidden="false" customHeight="true" outlineLevel="0" collapsed="false">
      <c r="A1433" s="1" t="s">
        <v>306</v>
      </c>
      <c r="B1433" s="1" t="s">
        <v>1221</v>
      </c>
      <c r="C1433" s="1" t="n">
        <v>128</v>
      </c>
      <c r="E1433" s="1" t="s">
        <v>3941</v>
      </c>
      <c r="F1433" s="1" t="s">
        <v>3942</v>
      </c>
      <c r="G1433" s="1" t="s">
        <v>3943</v>
      </c>
      <c r="J1433" s="1" t="s">
        <v>3944</v>
      </c>
      <c r="K1433" s="1" t="n">
        <f aca="false">IF(Search!$D$5="",0,IF(AND(OR(Search!$N$5="",ISNUMBER(SEARCH(Search!$N$5,J1433))),OR(Search!$N$6="",ISNUMBER(SEARCH(Search!$N$6,J1433))),OR(Search!$N$7="",ISNUMBER(SEARCH(Search!$N$7,J1433))),OR(Search!$N$8="",ISNUMBER(SEARCH(Search!$N$8,J1433)))),1,0))</f>
        <v>0</v>
      </c>
      <c r="L1433" s="1" t="n">
        <f aca="false">L1432+K1433</f>
        <v>0</v>
      </c>
    </row>
    <row r="1434" customFormat="false" ht="15" hidden="false" customHeight="true" outlineLevel="0" collapsed="false">
      <c r="A1434" s="1" t="s">
        <v>306</v>
      </c>
      <c r="B1434" s="1" t="s">
        <v>1221</v>
      </c>
      <c r="C1434" s="1" t="n">
        <v>129</v>
      </c>
      <c r="E1434" s="1" t="s">
        <v>584</v>
      </c>
      <c r="F1434" s="1" t="s">
        <v>524</v>
      </c>
      <c r="G1434" s="1" t="s">
        <v>3945</v>
      </c>
      <c r="J1434" s="1" t="s">
        <v>3946</v>
      </c>
      <c r="K1434" s="1" t="n">
        <f aca="false">IF(Search!$D$5="",0,IF(AND(OR(Search!$N$5="",ISNUMBER(SEARCH(Search!$N$5,J1434))),OR(Search!$N$6="",ISNUMBER(SEARCH(Search!$N$6,J1434))),OR(Search!$N$7="",ISNUMBER(SEARCH(Search!$N$7,J1434))),OR(Search!$N$8="",ISNUMBER(SEARCH(Search!$N$8,J1434)))),1,0))</f>
        <v>0</v>
      </c>
      <c r="L1434" s="1" t="n">
        <f aca="false">L1433+K1434</f>
        <v>0</v>
      </c>
    </row>
    <row r="1435" customFormat="false" ht="15" hidden="false" customHeight="true" outlineLevel="0" collapsed="false">
      <c r="A1435" s="1" t="s">
        <v>306</v>
      </c>
      <c r="B1435" s="1" t="s">
        <v>1221</v>
      </c>
      <c r="C1435" s="1" t="n">
        <v>130</v>
      </c>
      <c r="E1435" s="1" t="s">
        <v>579</v>
      </c>
      <c r="F1435" s="1" t="s">
        <v>524</v>
      </c>
      <c r="G1435" s="1" t="s">
        <v>3947</v>
      </c>
      <c r="J1435" s="1" t="s">
        <v>3948</v>
      </c>
      <c r="K1435" s="1" t="n">
        <f aca="false">IF(Search!$D$5="",0,IF(AND(OR(Search!$N$5="",ISNUMBER(SEARCH(Search!$N$5,J1435))),OR(Search!$N$6="",ISNUMBER(SEARCH(Search!$N$6,J1435))),OR(Search!$N$7="",ISNUMBER(SEARCH(Search!$N$7,J1435))),OR(Search!$N$8="",ISNUMBER(SEARCH(Search!$N$8,J1435)))),1,0))</f>
        <v>0</v>
      </c>
      <c r="L1435" s="1" t="n">
        <f aca="false">L1434+K1435</f>
        <v>0</v>
      </c>
    </row>
    <row r="1436" customFormat="false" ht="15" hidden="false" customHeight="true" outlineLevel="0" collapsed="false">
      <c r="A1436" s="1" t="s">
        <v>306</v>
      </c>
      <c r="B1436" s="1" t="s">
        <v>1221</v>
      </c>
      <c r="C1436" s="1" t="n">
        <v>131</v>
      </c>
      <c r="E1436" s="1" t="s">
        <v>3949</v>
      </c>
      <c r="F1436" s="1" t="s">
        <v>3950</v>
      </c>
      <c r="G1436" s="1" t="s">
        <v>3951</v>
      </c>
      <c r="J1436" s="1" t="s">
        <v>3952</v>
      </c>
      <c r="K1436" s="1" t="n">
        <f aca="false">IF(Search!$D$5="",0,IF(AND(OR(Search!$N$5="",ISNUMBER(SEARCH(Search!$N$5,J1436))),OR(Search!$N$6="",ISNUMBER(SEARCH(Search!$N$6,J1436))),OR(Search!$N$7="",ISNUMBER(SEARCH(Search!$N$7,J1436))),OR(Search!$N$8="",ISNUMBER(SEARCH(Search!$N$8,J1436)))),1,0))</f>
        <v>0</v>
      </c>
      <c r="L1436" s="1" t="n">
        <f aca="false">L1435+K1436</f>
        <v>0</v>
      </c>
    </row>
    <row r="1437" customFormat="false" ht="15" hidden="false" customHeight="true" outlineLevel="0" collapsed="false">
      <c r="A1437" s="1" t="s">
        <v>306</v>
      </c>
      <c r="B1437" s="1" t="s">
        <v>1221</v>
      </c>
      <c r="C1437" s="1" t="n">
        <v>132</v>
      </c>
      <c r="E1437" s="1" t="s">
        <v>578</v>
      </c>
      <c r="F1437" s="1" t="s">
        <v>524</v>
      </c>
      <c r="G1437" s="1" t="s">
        <v>3953</v>
      </c>
      <c r="J1437" s="1" t="s">
        <v>3954</v>
      </c>
      <c r="K1437" s="1" t="n">
        <f aca="false">IF(Search!$D$5="",0,IF(AND(OR(Search!$N$5="",ISNUMBER(SEARCH(Search!$N$5,J1437))),OR(Search!$N$6="",ISNUMBER(SEARCH(Search!$N$6,J1437))),OR(Search!$N$7="",ISNUMBER(SEARCH(Search!$N$7,J1437))),OR(Search!$N$8="",ISNUMBER(SEARCH(Search!$N$8,J1437)))),1,0))</f>
        <v>0</v>
      </c>
      <c r="L1437" s="1" t="n">
        <f aca="false">L1436+K1437</f>
        <v>0</v>
      </c>
    </row>
    <row r="1438" customFormat="false" ht="15" hidden="false" customHeight="true" outlineLevel="0" collapsed="false">
      <c r="A1438" s="1" t="s">
        <v>306</v>
      </c>
      <c r="B1438" s="1" t="s">
        <v>1221</v>
      </c>
      <c r="C1438" s="1" t="n">
        <v>133</v>
      </c>
      <c r="E1438" s="1" t="s">
        <v>583</v>
      </c>
      <c r="F1438" s="1" t="s">
        <v>524</v>
      </c>
      <c r="G1438" s="1" t="s">
        <v>3955</v>
      </c>
      <c r="J1438" s="1" t="s">
        <v>3956</v>
      </c>
      <c r="K1438" s="1" t="n">
        <f aca="false">IF(Search!$D$5="",0,IF(AND(OR(Search!$N$5="",ISNUMBER(SEARCH(Search!$N$5,J1438))),OR(Search!$N$6="",ISNUMBER(SEARCH(Search!$N$6,J1438))),OR(Search!$N$7="",ISNUMBER(SEARCH(Search!$N$7,J1438))),OR(Search!$N$8="",ISNUMBER(SEARCH(Search!$N$8,J1438)))),1,0))</f>
        <v>0</v>
      </c>
      <c r="L1438" s="1" t="n">
        <f aca="false">L1437+K1438</f>
        <v>0</v>
      </c>
    </row>
    <row r="1439" customFormat="false" ht="15" hidden="false" customHeight="true" outlineLevel="0" collapsed="false">
      <c r="A1439" s="1" t="s">
        <v>306</v>
      </c>
      <c r="B1439" s="1" t="s">
        <v>1221</v>
      </c>
      <c r="C1439" s="1" t="n">
        <v>134</v>
      </c>
      <c r="E1439" s="1" t="s">
        <v>3957</v>
      </c>
      <c r="F1439" s="1" t="s">
        <v>1045</v>
      </c>
      <c r="G1439" s="1" t="s">
        <v>3955</v>
      </c>
      <c r="J1439" s="1" t="s">
        <v>3958</v>
      </c>
      <c r="K1439" s="1" t="n">
        <f aca="false">IF(Search!$D$5="",0,IF(AND(OR(Search!$N$5="",ISNUMBER(SEARCH(Search!$N$5,J1439))),OR(Search!$N$6="",ISNUMBER(SEARCH(Search!$N$6,J1439))),OR(Search!$N$7="",ISNUMBER(SEARCH(Search!$N$7,J1439))),OR(Search!$N$8="",ISNUMBER(SEARCH(Search!$N$8,J1439)))),1,0))</f>
        <v>0</v>
      </c>
      <c r="L1439" s="1" t="n">
        <f aca="false">L1438+K1439</f>
        <v>0</v>
      </c>
    </row>
    <row r="1440" customFormat="false" ht="15" hidden="false" customHeight="true" outlineLevel="0" collapsed="false">
      <c r="A1440" s="1" t="s">
        <v>306</v>
      </c>
      <c r="B1440" s="1" t="s">
        <v>1221</v>
      </c>
      <c r="C1440" s="1" t="n">
        <v>135</v>
      </c>
      <c r="E1440" s="1" t="s">
        <v>577</v>
      </c>
      <c r="F1440" s="1" t="s">
        <v>524</v>
      </c>
      <c r="G1440" s="1" t="s">
        <v>3959</v>
      </c>
      <c r="J1440" s="1" t="s">
        <v>3960</v>
      </c>
      <c r="K1440" s="1" t="n">
        <f aca="false">IF(Search!$D$5="",0,IF(AND(OR(Search!$N$5="",ISNUMBER(SEARCH(Search!$N$5,J1440))),OR(Search!$N$6="",ISNUMBER(SEARCH(Search!$N$6,J1440))),OR(Search!$N$7="",ISNUMBER(SEARCH(Search!$N$7,J1440))),OR(Search!$N$8="",ISNUMBER(SEARCH(Search!$N$8,J1440)))),1,0))</f>
        <v>0</v>
      </c>
      <c r="L1440" s="1" t="n">
        <f aca="false">L1439+K1440</f>
        <v>0</v>
      </c>
    </row>
    <row r="1441" customFormat="false" ht="15" hidden="false" customHeight="true" outlineLevel="0" collapsed="false">
      <c r="A1441" s="1" t="s">
        <v>306</v>
      </c>
      <c r="B1441" s="1" t="s">
        <v>1221</v>
      </c>
      <c r="C1441" s="1" t="n">
        <v>136</v>
      </c>
      <c r="E1441" s="1" t="s">
        <v>478</v>
      </c>
      <c r="F1441" s="1" t="s">
        <v>524</v>
      </c>
      <c r="G1441" s="1" t="s">
        <v>3961</v>
      </c>
      <c r="J1441" s="1" t="s">
        <v>3962</v>
      </c>
      <c r="K1441" s="1" t="n">
        <f aca="false">IF(Search!$D$5="",0,IF(AND(OR(Search!$N$5="",ISNUMBER(SEARCH(Search!$N$5,J1441))),OR(Search!$N$6="",ISNUMBER(SEARCH(Search!$N$6,J1441))),OR(Search!$N$7="",ISNUMBER(SEARCH(Search!$N$7,J1441))),OR(Search!$N$8="",ISNUMBER(SEARCH(Search!$N$8,J1441)))),1,0))</f>
        <v>0</v>
      </c>
      <c r="L1441" s="1" t="n">
        <f aca="false">L1440+K1441</f>
        <v>0</v>
      </c>
    </row>
    <row r="1442" customFormat="false" ht="15" hidden="false" customHeight="true" outlineLevel="0" collapsed="false">
      <c r="A1442" s="1" t="s">
        <v>306</v>
      </c>
      <c r="B1442" s="1" t="s">
        <v>1221</v>
      </c>
      <c r="C1442" s="1" t="n">
        <v>137</v>
      </c>
      <c r="E1442" s="1" t="s">
        <v>3963</v>
      </c>
      <c r="F1442" s="1" t="s">
        <v>3964</v>
      </c>
      <c r="G1442" s="1" t="s">
        <v>3965</v>
      </c>
      <c r="J1442" s="1" t="s">
        <v>3966</v>
      </c>
      <c r="K1442" s="1" t="n">
        <f aca="false">IF(Search!$D$5="",0,IF(AND(OR(Search!$N$5="",ISNUMBER(SEARCH(Search!$N$5,J1442))),OR(Search!$N$6="",ISNUMBER(SEARCH(Search!$N$6,J1442))),OR(Search!$N$7="",ISNUMBER(SEARCH(Search!$N$7,J1442))),OR(Search!$N$8="",ISNUMBER(SEARCH(Search!$N$8,J1442)))),1,0))</f>
        <v>0</v>
      </c>
      <c r="L1442" s="1" t="n">
        <f aca="false">L1441+K1442</f>
        <v>0</v>
      </c>
    </row>
    <row r="1443" customFormat="false" ht="15" hidden="false" customHeight="true" outlineLevel="0" collapsed="false">
      <c r="A1443" s="1" t="s">
        <v>306</v>
      </c>
      <c r="B1443" s="1" t="s">
        <v>1221</v>
      </c>
      <c r="C1443" s="1" t="n">
        <v>138</v>
      </c>
      <c r="E1443" s="1" t="s">
        <v>2172</v>
      </c>
      <c r="F1443" s="1" t="s">
        <v>524</v>
      </c>
      <c r="G1443" s="1" t="s">
        <v>3967</v>
      </c>
      <c r="J1443" s="1" t="s">
        <v>3968</v>
      </c>
      <c r="K1443" s="1" t="n">
        <f aca="false">IF(Search!$D$5="",0,IF(AND(OR(Search!$N$5="",ISNUMBER(SEARCH(Search!$N$5,J1443))),OR(Search!$N$6="",ISNUMBER(SEARCH(Search!$N$6,J1443))),OR(Search!$N$7="",ISNUMBER(SEARCH(Search!$N$7,J1443))),OR(Search!$N$8="",ISNUMBER(SEARCH(Search!$N$8,J1443)))),1,0))</f>
        <v>0</v>
      </c>
      <c r="L1443" s="1" t="n">
        <f aca="false">L1442+K1443</f>
        <v>0</v>
      </c>
    </row>
    <row r="1444" customFormat="false" ht="15" hidden="false" customHeight="true" outlineLevel="0" collapsed="false">
      <c r="A1444" s="1" t="s">
        <v>306</v>
      </c>
      <c r="B1444" s="1" t="s">
        <v>1221</v>
      </c>
      <c r="C1444" s="1" t="n">
        <v>139</v>
      </c>
      <c r="E1444" s="1" t="s">
        <v>1067</v>
      </c>
      <c r="F1444" s="1" t="s">
        <v>2691</v>
      </c>
      <c r="G1444" s="1" t="s">
        <v>3969</v>
      </c>
      <c r="J1444" s="1" t="s">
        <v>3970</v>
      </c>
      <c r="K1444" s="1" t="n">
        <f aca="false">IF(Search!$D$5="",0,IF(AND(OR(Search!$N$5="",ISNUMBER(SEARCH(Search!$N$5,J1444))),OR(Search!$N$6="",ISNUMBER(SEARCH(Search!$N$6,J1444))),OR(Search!$N$7="",ISNUMBER(SEARCH(Search!$N$7,J1444))),OR(Search!$N$8="",ISNUMBER(SEARCH(Search!$N$8,J1444)))),1,0))</f>
        <v>0</v>
      </c>
      <c r="L1444" s="1" t="n">
        <f aca="false">L1443+K1444</f>
        <v>0</v>
      </c>
    </row>
    <row r="1445" customFormat="false" ht="15" hidden="false" customHeight="true" outlineLevel="0" collapsed="false">
      <c r="A1445" s="1" t="s">
        <v>306</v>
      </c>
      <c r="B1445" s="1" t="s">
        <v>1221</v>
      </c>
      <c r="C1445" s="1" t="n">
        <v>140</v>
      </c>
      <c r="E1445" s="1" t="s">
        <v>982</v>
      </c>
      <c r="F1445" s="1" t="s">
        <v>524</v>
      </c>
      <c r="G1445" s="1" t="s">
        <v>3971</v>
      </c>
      <c r="J1445" s="1" t="s">
        <v>3972</v>
      </c>
      <c r="K1445" s="1" t="n">
        <f aca="false">IF(Search!$D$5="",0,IF(AND(OR(Search!$N$5="",ISNUMBER(SEARCH(Search!$N$5,J1445))),OR(Search!$N$6="",ISNUMBER(SEARCH(Search!$N$6,J1445))),OR(Search!$N$7="",ISNUMBER(SEARCH(Search!$N$7,J1445))),OR(Search!$N$8="",ISNUMBER(SEARCH(Search!$N$8,J1445)))),1,0))</f>
        <v>0</v>
      </c>
      <c r="L1445" s="1" t="n">
        <f aca="false">L1444+K1445</f>
        <v>0</v>
      </c>
    </row>
    <row r="1446" customFormat="false" ht="15" hidden="false" customHeight="true" outlineLevel="0" collapsed="false">
      <c r="A1446" s="1" t="s">
        <v>306</v>
      </c>
      <c r="B1446" s="1" t="s">
        <v>1221</v>
      </c>
      <c r="C1446" s="1" t="n">
        <v>141</v>
      </c>
      <c r="E1446" s="1" t="s">
        <v>3973</v>
      </c>
      <c r="F1446" s="1" t="s">
        <v>3974</v>
      </c>
      <c r="G1446" s="1" t="s">
        <v>3975</v>
      </c>
      <c r="J1446" s="1" t="s">
        <v>3976</v>
      </c>
      <c r="K1446" s="1" t="n">
        <f aca="false">IF(Search!$D$5="",0,IF(AND(OR(Search!$N$5="",ISNUMBER(SEARCH(Search!$N$5,J1446))),OR(Search!$N$6="",ISNUMBER(SEARCH(Search!$N$6,J1446))),OR(Search!$N$7="",ISNUMBER(SEARCH(Search!$N$7,J1446))),OR(Search!$N$8="",ISNUMBER(SEARCH(Search!$N$8,J1446)))),1,0))</f>
        <v>0</v>
      </c>
      <c r="L1446" s="1" t="n">
        <f aca="false">L1445+K1446</f>
        <v>0</v>
      </c>
    </row>
    <row r="1447" customFormat="false" ht="15" hidden="false" customHeight="true" outlineLevel="0" collapsed="false">
      <c r="A1447" s="1" t="s">
        <v>306</v>
      </c>
      <c r="B1447" s="1" t="s">
        <v>1221</v>
      </c>
      <c r="C1447" s="1" t="n">
        <v>142</v>
      </c>
      <c r="E1447" s="1" t="s">
        <v>3977</v>
      </c>
      <c r="F1447" s="1" t="s">
        <v>524</v>
      </c>
      <c r="G1447" s="1" t="s">
        <v>3978</v>
      </c>
      <c r="J1447" s="1" t="s">
        <v>3979</v>
      </c>
      <c r="K1447" s="1" t="n">
        <f aca="false">IF(Search!$D$5="",0,IF(AND(OR(Search!$N$5="",ISNUMBER(SEARCH(Search!$N$5,J1447))),OR(Search!$N$6="",ISNUMBER(SEARCH(Search!$N$6,J1447))),OR(Search!$N$7="",ISNUMBER(SEARCH(Search!$N$7,J1447))),OR(Search!$N$8="",ISNUMBER(SEARCH(Search!$N$8,J1447)))),1,0))</f>
        <v>0</v>
      </c>
      <c r="L1447" s="1" t="n">
        <f aca="false">L1446+K1447</f>
        <v>0</v>
      </c>
    </row>
    <row r="1448" customFormat="false" ht="15" hidden="false" customHeight="true" outlineLevel="0" collapsed="false">
      <c r="A1448" s="1" t="s">
        <v>306</v>
      </c>
      <c r="B1448" s="1" t="s">
        <v>1221</v>
      </c>
      <c r="C1448" s="1" t="n">
        <v>143</v>
      </c>
      <c r="E1448" s="1" t="s">
        <v>2187</v>
      </c>
      <c r="F1448" s="1" t="s">
        <v>524</v>
      </c>
      <c r="G1448" s="1" t="s">
        <v>3980</v>
      </c>
      <c r="J1448" s="1" t="s">
        <v>3981</v>
      </c>
      <c r="K1448" s="1" t="n">
        <f aca="false">IF(Search!$D$5="",0,IF(AND(OR(Search!$N$5="",ISNUMBER(SEARCH(Search!$N$5,J1448))),OR(Search!$N$6="",ISNUMBER(SEARCH(Search!$N$6,J1448))),OR(Search!$N$7="",ISNUMBER(SEARCH(Search!$N$7,J1448))),OR(Search!$N$8="",ISNUMBER(SEARCH(Search!$N$8,J1448)))),1,0))</f>
        <v>0</v>
      </c>
      <c r="L1448" s="1" t="n">
        <f aca="false">L1447+K1448</f>
        <v>0</v>
      </c>
    </row>
    <row r="1449" customFormat="false" ht="15" hidden="false" customHeight="true" outlineLevel="0" collapsed="false">
      <c r="A1449" s="1" t="s">
        <v>306</v>
      </c>
      <c r="B1449" s="1" t="s">
        <v>1221</v>
      </c>
      <c r="C1449" s="1" t="n">
        <v>144</v>
      </c>
      <c r="E1449" s="1" t="s">
        <v>3161</v>
      </c>
      <c r="F1449" s="1" t="s">
        <v>524</v>
      </c>
      <c r="G1449" s="1" t="s">
        <v>3982</v>
      </c>
      <c r="J1449" s="1" t="s">
        <v>3983</v>
      </c>
      <c r="K1449" s="1" t="n">
        <f aca="false">IF(Search!$D$5="",0,IF(AND(OR(Search!$N$5="",ISNUMBER(SEARCH(Search!$N$5,J1449))),OR(Search!$N$6="",ISNUMBER(SEARCH(Search!$N$6,J1449))),OR(Search!$N$7="",ISNUMBER(SEARCH(Search!$N$7,J1449))),OR(Search!$N$8="",ISNUMBER(SEARCH(Search!$N$8,J1449)))),1,0))</f>
        <v>0</v>
      </c>
      <c r="L1449" s="1" t="n">
        <f aca="false">L1448+K1449</f>
        <v>0</v>
      </c>
    </row>
    <row r="1450" customFormat="false" ht="15" hidden="false" customHeight="true" outlineLevel="0" collapsed="false">
      <c r="A1450" s="1" t="s">
        <v>306</v>
      </c>
      <c r="B1450" s="1" t="s">
        <v>1221</v>
      </c>
      <c r="C1450" s="1" t="n">
        <v>145</v>
      </c>
      <c r="E1450" s="1" t="s">
        <v>3984</v>
      </c>
      <c r="F1450" s="1" t="s">
        <v>2695</v>
      </c>
      <c r="G1450" s="1" t="s">
        <v>3985</v>
      </c>
      <c r="J1450" s="1" t="s">
        <v>3986</v>
      </c>
      <c r="K1450" s="1" t="n">
        <f aca="false">IF(Search!$D$5="",0,IF(AND(OR(Search!$N$5="",ISNUMBER(SEARCH(Search!$N$5,J1450))),OR(Search!$N$6="",ISNUMBER(SEARCH(Search!$N$6,J1450))),OR(Search!$N$7="",ISNUMBER(SEARCH(Search!$N$7,J1450))),OR(Search!$N$8="",ISNUMBER(SEARCH(Search!$N$8,J1450)))),1,0))</f>
        <v>0</v>
      </c>
      <c r="L1450" s="1" t="n">
        <f aca="false">L1449+K1450</f>
        <v>0</v>
      </c>
    </row>
    <row r="1451" customFormat="false" ht="15" hidden="false" customHeight="true" outlineLevel="0" collapsed="false">
      <c r="A1451" s="1" t="s">
        <v>306</v>
      </c>
      <c r="B1451" s="1" t="s">
        <v>1221</v>
      </c>
      <c r="C1451" s="1" t="n">
        <v>146</v>
      </c>
      <c r="E1451" s="1" t="s">
        <v>492</v>
      </c>
      <c r="F1451" s="1" t="s">
        <v>524</v>
      </c>
      <c r="G1451" s="1" t="s">
        <v>3987</v>
      </c>
      <c r="J1451" s="1" t="s">
        <v>3988</v>
      </c>
      <c r="K1451" s="1" t="n">
        <f aca="false">IF(Search!$D$5="",0,IF(AND(OR(Search!$N$5="",ISNUMBER(SEARCH(Search!$N$5,J1451))),OR(Search!$N$6="",ISNUMBER(SEARCH(Search!$N$6,J1451))),OR(Search!$N$7="",ISNUMBER(SEARCH(Search!$N$7,J1451))),OR(Search!$N$8="",ISNUMBER(SEARCH(Search!$N$8,J1451)))),1,0))</f>
        <v>0</v>
      </c>
      <c r="L1451" s="1" t="n">
        <f aca="false">L1450+K1451</f>
        <v>0</v>
      </c>
    </row>
    <row r="1452" customFormat="false" ht="15" hidden="false" customHeight="true" outlineLevel="0" collapsed="false">
      <c r="A1452" s="1" t="s">
        <v>306</v>
      </c>
      <c r="B1452" s="1" t="s">
        <v>1221</v>
      </c>
      <c r="C1452" s="1" t="n">
        <v>147</v>
      </c>
      <c r="E1452" s="1" t="s">
        <v>1193</v>
      </c>
      <c r="F1452" s="1" t="s">
        <v>3989</v>
      </c>
      <c r="G1452" s="1" t="s">
        <v>3990</v>
      </c>
      <c r="J1452" s="1" t="s">
        <v>3991</v>
      </c>
      <c r="K1452" s="1" t="n">
        <f aca="false">IF(Search!$D$5="",0,IF(AND(OR(Search!$N$5="",ISNUMBER(SEARCH(Search!$N$5,J1452))),OR(Search!$N$6="",ISNUMBER(SEARCH(Search!$N$6,J1452))),OR(Search!$N$7="",ISNUMBER(SEARCH(Search!$N$7,J1452))),OR(Search!$N$8="",ISNUMBER(SEARCH(Search!$N$8,J1452)))),1,0))</f>
        <v>0</v>
      </c>
      <c r="L1452" s="1" t="n">
        <f aca="false">L1451+K1452</f>
        <v>0</v>
      </c>
    </row>
    <row r="1453" customFormat="false" ht="15" hidden="false" customHeight="true" outlineLevel="0" collapsed="false">
      <c r="A1453" s="1" t="s">
        <v>306</v>
      </c>
      <c r="B1453" s="1" t="s">
        <v>1221</v>
      </c>
      <c r="C1453" s="1" t="n">
        <v>148</v>
      </c>
      <c r="E1453" s="1" t="s">
        <v>3992</v>
      </c>
      <c r="F1453" s="1" t="s">
        <v>2543</v>
      </c>
      <c r="G1453" s="1" t="s">
        <v>3993</v>
      </c>
      <c r="J1453" s="1" t="s">
        <v>3994</v>
      </c>
      <c r="K1453" s="1" t="n">
        <f aca="false">IF(Search!$D$5="",0,IF(AND(OR(Search!$N$5="",ISNUMBER(SEARCH(Search!$N$5,J1453))),OR(Search!$N$6="",ISNUMBER(SEARCH(Search!$N$6,J1453))),OR(Search!$N$7="",ISNUMBER(SEARCH(Search!$N$7,J1453))),OR(Search!$N$8="",ISNUMBER(SEARCH(Search!$N$8,J1453)))),1,0))</f>
        <v>0</v>
      </c>
      <c r="L1453" s="1" t="n">
        <f aca="false">L1452+K1453</f>
        <v>0</v>
      </c>
    </row>
    <row r="1454" customFormat="false" ht="15" hidden="false" customHeight="true" outlineLevel="0" collapsed="false">
      <c r="A1454" s="1" t="s">
        <v>306</v>
      </c>
      <c r="B1454" s="1" t="s">
        <v>1221</v>
      </c>
      <c r="C1454" s="1" t="n">
        <v>151</v>
      </c>
      <c r="E1454" s="1" t="s">
        <v>2336</v>
      </c>
      <c r="J1454" s="1" t="s">
        <v>2336</v>
      </c>
      <c r="K1454" s="1" t="n">
        <f aca="false">IF(Search!$D$5="",0,IF(AND(OR(Search!$N$5="",ISNUMBER(SEARCH(Search!$N$5,J1454))),OR(Search!$N$6="",ISNUMBER(SEARCH(Search!$N$6,J1454))),OR(Search!$N$7="",ISNUMBER(SEARCH(Search!$N$7,J1454))),OR(Search!$N$8="",ISNUMBER(SEARCH(Search!$N$8,J1454)))),1,0))</f>
        <v>0</v>
      </c>
      <c r="L1454" s="1" t="n">
        <f aca="false">L1453+K1454</f>
        <v>0</v>
      </c>
    </row>
    <row r="1455" customFormat="false" ht="15" hidden="false" customHeight="true" outlineLevel="0" collapsed="false">
      <c r="A1455" s="1" t="s">
        <v>306</v>
      </c>
      <c r="B1455" s="1" t="s">
        <v>1221</v>
      </c>
      <c r="C1455" s="1" t="n">
        <v>152</v>
      </c>
      <c r="E1455" s="1" t="s">
        <v>1279</v>
      </c>
      <c r="J1455" s="1" t="s">
        <v>1279</v>
      </c>
      <c r="K1455" s="1" t="n">
        <f aca="false">IF(Search!$D$5="",0,IF(AND(OR(Search!$N$5="",ISNUMBER(SEARCH(Search!$N$5,J1455))),OR(Search!$N$6="",ISNUMBER(SEARCH(Search!$N$6,J1455))),OR(Search!$N$7="",ISNUMBER(SEARCH(Search!$N$7,J1455))),OR(Search!$N$8="",ISNUMBER(SEARCH(Search!$N$8,J1455)))),1,0))</f>
        <v>0</v>
      </c>
      <c r="L1455" s="1" t="n">
        <f aca="false">L1454+K1455</f>
        <v>0</v>
      </c>
    </row>
    <row r="1456" customFormat="false" ht="16.5" hidden="false" customHeight="true" outlineLevel="0" collapsed="false">
      <c r="A1456" s="1" t="s">
        <v>309</v>
      </c>
      <c r="B1456" s="1" t="s">
        <v>1221</v>
      </c>
      <c r="C1456" s="1" t="n">
        <v>2</v>
      </c>
      <c r="E1456" s="1" t="s">
        <v>3995</v>
      </c>
      <c r="J1456" s="1" t="s">
        <v>3995</v>
      </c>
      <c r="K1456" s="1" t="n">
        <f aca="false">IF(Search!$D$5="",0,IF(AND(OR(Search!$N$5="",ISNUMBER(SEARCH(Search!$N$5,J1456))),OR(Search!$N$6="",ISNUMBER(SEARCH(Search!$N$6,J1456))),OR(Search!$N$7="",ISNUMBER(SEARCH(Search!$N$7,J1456))),OR(Search!$N$8="",ISNUMBER(SEARCH(Search!$N$8,J1456)))),1,0))</f>
        <v>0</v>
      </c>
      <c r="L1456" s="1" t="n">
        <f aca="false">L1455+K1456</f>
        <v>0</v>
      </c>
    </row>
    <row r="1457" customFormat="false" ht="15" hidden="false" customHeight="true" outlineLevel="0" collapsed="false">
      <c r="A1457" s="1" t="s">
        <v>309</v>
      </c>
      <c r="B1457" s="1" t="s">
        <v>1221</v>
      </c>
      <c r="C1457" s="1" t="n">
        <v>3</v>
      </c>
      <c r="E1457" s="1" t="s">
        <v>3996</v>
      </c>
      <c r="J1457" s="1" t="s">
        <v>3996</v>
      </c>
      <c r="K1457" s="1" t="n">
        <f aca="false">IF(Search!$D$5="",0,IF(AND(OR(Search!$N$5="",ISNUMBER(SEARCH(Search!$N$5,J1457))),OR(Search!$N$6="",ISNUMBER(SEARCH(Search!$N$6,J1457))),OR(Search!$N$7="",ISNUMBER(SEARCH(Search!$N$7,J1457))),OR(Search!$N$8="",ISNUMBER(SEARCH(Search!$N$8,J1457)))),1,0))</f>
        <v>0</v>
      </c>
      <c r="L1457" s="1" t="n">
        <f aca="false">L1456+K1457</f>
        <v>0</v>
      </c>
    </row>
    <row r="1458" customFormat="false" ht="16.5" hidden="false" customHeight="true" outlineLevel="0" collapsed="false">
      <c r="A1458" s="1" t="s">
        <v>309</v>
      </c>
      <c r="B1458" s="1" t="s">
        <v>1221</v>
      </c>
      <c r="C1458" s="1" t="n">
        <v>5</v>
      </c>
      <c r="E1458" s="1" t="s">
        <v>3997</v>
      </c>
      <c r="J1458" s="1" t="s">
        <v>3997</v>
      </c>
      <c r="K1458" s="1" t="n">
        <f aca="false">IF(Search!$D$5="",0,IF(AND(OR(Search!$N$5="",ISNUMBER(SEARCH(Search!$N$5,J1458))),OR(Search!$N$6="",ISNUMBER(SEARCH(Search!$N$6,J1458))),OR(Search!$N$7="",ISNUMBER(SEARCH(Search!$N$7,J1458))),OR(Search!$N$8="",ISNUMBER(SEARCH(Search!$N$8,J1458)))),1,0))</f>
        <v>0</v>
      </c>
      <c r="L1458" s="1" t="n">
        <f aca="false">L1457+K1458</f>
        <v>0</v>
      </c>
    </row>
    <row r="1459" customFormat="false" ht="54.75" hidden="false" customHeight="true" outlineLevel="0" collapsed="false">
      <c r="A1459" s="1" t="s">
        <v>309</v>
      </c>
      <c r="B1459" s="1" t="s">
        <v>1221</v>
      </c>
      <c r="C1459" s="1" t="n">
        <v>6</v>
      </c>
      <c r="E1459" s="46" t="s">
        <v>3998</v>
      </c>
      <c r="F1459" s="46" t="s">
        <v>3999</v>
      </c>
      <c r="G1459" s="46" t="s">
        <v>4000</v>
      </c>
      <c r="H1459" s="1" t="s">
        <v>2196</v>
      </c>
      <c r="I1459" s="1" t="s">
        <v>2197</v>
      </c>
      <c r="J1459" s="46" t="s">
        <v>4001</v>
      </c>
      <c r="K1459" s="1" t="n">
        <f aca="false">IF(Search!$D$5="",0,IF(AND(OR(Search!$N$5="",ISNUMBER(SEARCH(Search!$N$5,J1459))),OR(Search!$N$6="",ISNUMBER(SEARCH(Search!$N$6,J1459))),OR(Search!$N$7="",ISNUMBER(SEARCH(Search!$N$7,J1459))),OR(Search!$N$8="",ISNUMBER(SEARCH(Search!$N$8,J1459)))),1,0))</f>
        <v>0</v>
      </c>
      <c r="L1459" s="1" t="n">
        <f aca="false">L1458+K1459</f>
        <v>0</v>
      </c>
    </row>
    <row r="1460" customFormat="false" ht="15" hidden="false" customHeight="true" outlineLevel="0" collapsed="false">
      <c r="A1460" s="1" t="s">
        <v>309</v>
      </c>
      <c r="B1460" s="1" t="s">
        <v>1221</v>
      </c>
      <c r="C1460" s="1" t="n">
        <v>7</v>
      </c>
      <c r="E1460" s="1" t="s">
        <v>3450</v>
      </c>
      <c r="F1460" s="1" t="s">
        <v>1876</v>
      </c>
      <c r="G1460" s="1" t="s">
        <v>524</v>
      </c>
      <c r="H1460" s="1" t="s">
        <v>4002</v>
      </c>
      <c r="I1460" s="1" t="s">
        <v>4003</v>
      </c>
      <c r="J1460" s="1" t="s">
        <v>4004</v>
      </c>
      <c r="K1460" s="1" t="n">
        <f aca="false">IF(Search!$D$5="",0,IF(AND(OR(Search!$N$5="",ISNUMBER(SEARCH(Search!$N$5,J1460))),OR(Search!$N$6="",ISNUMBER(SEARCH(Search!$N$6,J1460))),OR(Search!$N$7="",ISNUMBER(SEARCH(Search!$N$7,J1460))),OR(Search!$N$8="",ISNUMBER(SEARCH(Search!$N$8,J1460)))),1,0))</f>
        <v>0</v>
      </c>
      <c r="L1460" s="1" t="n">
        <f aca="false">L1459+K1460</f>
        <v>0</v>
      </c>
    </row>
    <row r="1461" customFormat="false" ht="15" hidden="false" customHeight="true" outlineLevel="0" collapsed="false">
      <c r="A1461" s="1" t="s">
        <v>309</v>
      </c>
      <c r="B1461" s="1" t="s">
        <v>1221</v>
      </c>
      <c r="C1461" s="1" t="n">
        <v>8</v>
      </c>
      <c r="E1461" s="1" t="s">
        <v>3450</v>
      </c>
      <c r="F1461" s="1" t="s">
        <v>1830</v>
      </c>
      <c r="G1461" s="1" t="s">
        <v>1838</v>
      </c>
      <c r="H1461" s="1" t="s">
        <v>4005</v>
      </c>
      <c r="I1461" s="1" t="s">
        <v>4006</v>
      </c>
      <c r="J1461" s="1" t="s">
        <v>4007</v>
      </c>
      <c r="K1461" s="1" t="n">
        <f aca="false">IF(Search!$D$5="",0,IF(AND(OR(Search!$N$5="",ISNUMBER(SEARCH(Search!$N$5,J1461))),OR(Search!$N$6="",ISNUMBER(SEARCH(Search!$N$6,J1461))),OR(Search!$N$7="",ISNUMBER(SEARCH(Search!$N$7,J1461))),OR(Search!$N$8="",ISNUMBER(SEARCH(Search!$N$8,J1461)))),1,0))</f>
        <v>0</v>
      </c>
      <c r="L1461" s="1" t="n">
        <f aca="false">L1460+K1461</f>
        <v>0</v>
      </c>
    </row>
    <row r="1462" customFormat="false" ht="15" hidden="false" customHeight="true" outlineLevel="0" collapsed="false">
      <c r="A1462" s="1" t="s">
        <v>309</v>
      </c>
      <c r="B1462" s="1" t="s">
        <v>1221</v>
      </c>
      <c r="C1462" s="1" t="n">
        <v>9</v>
      </c>
      <c r="E1462" s="1" t="s">
        <v>3450</v>
      </c>
      <c r="F1462" s="1" t="s">
        <v>1834</v>
      </c>
      <c r="G1462" s="1" t="s">
        <v>1838</v>
      </c>
      <c r="H1462" s="1" t="s">
        <v>4008</v>
      </c>
      <c r="I1462" s="1" t="s">
        <v>4009</v>
      </c>
      <c r="J1462" s="1" t="s">
        <v>4010</v>
      </c>
      <c r="K1462" s="1" t="n">
        <f aca="false">IF(Search!$D$5="",0,IF(AND(OR(Search!$N$5="",ISNUMBER(SEARCH(Search!$N$5,J1462))),OR(Search!$N$6="",ISNUMBER(SEARCH(Search!$N$6,J1462))),OR(Search!$N$7="",ISNUMBER(SEARCH(Search!$N$7,J1462))),OR(Search!$N$8="",ISNUMBER(SEARCH(Search!$N$8,J1462)))),1,0))</f>
        <v>0</v>
      </c>
      <c r="L1462" s="1" t="n">
        <f aca="false">L1461+K1462</f>
        <v>0</v>
      </c>
    </row>
    <row r="1463" customFormat="false" ht="15" hidden="false" customHeight="true" outlineLevel="0" collapsed="false">
      <c r="A1463" s="1" t="s">
        <v>309</v>
      </c>
      <c r="B1463" s="1" t="s">
        <v>1221</v>
      </c>
      <c r="C1463" s="1" t="n">
        <v>10</v>
      </c>
      <c r="E1463" s="1" t="s">
        <v>2199</v>
      </c>
      <c r="F1463" s="1" t="s">
        <v>2939</v>
      </c>
      <c r="G1463" s="1" t="s">
        <v>1847</v>
      </c>
      <c r="H1463" s="1" t="s">
        <v>4011</v>
      </c>
      <c r="I1463" s="1" t="s">
        <v>4012</v>
      </c>
      <c r="J1463" s="1" t="s">
        <v>4013</v>
      </c>
      <c r="K1463" s="1" t="n">
        <f aca="false">IF(Search!$D$5="",0,IF(AND(OR(Search!$N$5="",ISNUMBER(SEARCH(Search!$N$5,J1463))),OR(Search!$N$6="",ISNUMBER(SEARCH(Search!$N$6,J1463))),OR(Search!$N$7="",ISNUMBER(SEARCH(Search!$N$7,J1463))),OR(Search!$N$8="",ISNUMBER(SEARCH(Search!$N$8,J1463)))),1,0))</f>
        <v>0</v>
      </c>
      <c r="L1463" s="1" t="n">
        <f aca="false">L1462+K1463</f>
        <v>0</v>
      </c>
    </row>
    <row r="1464" customFormat="false" ht="15" hidden="false" customHeight="true" outlineLevel="0" collapsed="false">
      <c r="A1464" s="1" t="s">
        <v>309</v>
      </c>
      <c r="B1464" s="1" t="s">
        <v>1221</v>
      </c>
      <c r="C1464" s="1" t="n">
        <v>11</v>
      </c>
      <c r="E1464" s="1" t="s">
        <v>4014</v>
      </c>
      <c r="F1464" s="1" t="s">
        <v>2702</v>
      </c>
      <c r="G1464" s="1" t="s">
        <v>524</v>
      </c>
      <c r="H1464" s="1" t="s">
        <v>1588</v>
      </c>
      <c r="I1464" s="1" t="s">
        <v>1589</v>
      </c>
      <c r="J1464" s="1" t="s">
        <v>4015</v>
      </c>
      <c r="K1464" s="1" t="n">
        <f aca="false">IF(Search!$D$5="",0,IF(AND(OR(Search!$N$5="",ISNUMBER(SEARCH(Search!$N$5,J1464))),OR(Search!$N$6="",ISNUMBER(SEARCH(Search!$N$6,J1464))),OR(Search!$N$7="",ISNUMBER(SEARCH(Search!$N$7,J1464))),OR(Search!$N$8="",ISNUMBER(SEARCH(Search!$N$8,J1464)))),1,0))</f>
        <v>0</v>
      </c>
      <c r="L1464" s="1" t="n">
        <f aca="false">L1463+K1464</f>
        <v>0</v>
      </c>
    </row>
    <row r="1465" customFormat="false" ht="15" hidden="false" customHeight="true" outlineLevel="0" collapsed="false">
      <c r="A1465" s="1" t="s">
        <v>309</v>
      </c>
      <c r="B1465" s="1" t="s">
        <v>1221</v>
      </c>
      <c r="C1465" s="1" t="n">
        <v>12</v>
      </c>
      <c r="E1465" s="1" t="s">
        <v>4014</v>
      </c>
      <c r="F1465" s="1" t="s">
        <v>1830</v>
      </c>
      <c r="G1465" s="1" t="s">
        <v>524</v>
      </c>
      <c r="H1465" s="1" t="s">
        <v>4016</v>
      </c>
      <c r="I1465" s="1" t="s">
        <v>2134</v>
      </c>
      <c r="J1465" s="1" t="s">
        <v>4017</v>
      </c>
      <c r="K1465" s="1" t="n">
        <f aca="false">IF(Search!$D$5="",0,IF(AND(OR(Search!$N$5="",ISNUMBER(SEARCH(Search!$N$5,J1465))),OR(Search!$N$6="",ISNUMBER(SEARCH(Search!$N$6,J1465))),OR(Search!$N$7="",ISNUMBER(SEARCH(Search!$N$7,J1465))),OR(Search!$N$8="",ISNUMBER(SEARCH(Search!$N$8,J1465)))),1,0))</f>
        <v>0</v>
      </c>
      <c r="L1465" s="1" t="n">
        <f aca="false">L1464+K1465</f>
        <v>0</v>
      </c>
    </row>
    <row r="1466" customFormat="false" ht="15" hidden="false" customHeight="true" outlineLevel="0" collapsed="false">
      <c r="A1466" s="1" t="s">
        <v>309</v>
      </c>
      <c r="B1466" s="1" t="s">
        <v>1221</v>
      </c>
      <c r="C1466" s="1" t="n">
        <v>13</v>
      </c>
      <c r="E1466" s="1" t="s">
        <v>4014</v>
      </c>
      <c r="F1466" s="1" t="s">
        <v>2377</v>
      </c>
      <c r="G1466" s="1" t="s">
        <v>524</v>
      </c>
      <c r="H1466" s="1" t="s">
        <v>4018</v>
      </c>
      <c r="I1466" s="1" t="s">
        <v>4019</v>
      </c>
      <c r="J1466" s="1" t="s">
        <v>4020</v>
      </c>
      <c r="K1466" s="1" t="n">
        <f aca="false">IF(Search!$D$5="",0,IF(AND(OR(Search!$N$5="",ISNUMBER(SEARCH(Search!$N$5,J1466))),OR(Search!$N$6="",ISNUMBER(SEARCH(Search!$N$6,J1466))),OR(Search!$N$7="",ISNUMBER(SEARCH(Search!$N$7,J1466))),OR(Search!$N$8="",ISNUMBER(SEARCH(Search!$N$8,J1466)))),1,0))</f>
        <v>0</v>
      </c>
      <c r="L1466" s="1" t="n">
        <f aca="false">L1465+K1466</f>
        <v>0</v>
      </c>
    </row>
    <row r="1467" customFormat="false" ht="15" hidden="false" customHeight="true" outlineLevel="0" collapsed="false">
      <c r="A1467" s="1" t="s">
        <v>309</v>
      </c>
      <c r="B1467" s="1" t="s">
        <v>1221</v>
      </c>
      <c r="C1467" s="1" t="n">
        <v>14</v>
      </c>
      <c r="E1467" s="1" t="s">
        <v>4014</v>
      </c>
      <c r="F1467" s="1" t="s">
        <v>1834</v>
      </c>
      <c r="G1467" s="1" t="s">
        <v>1943</v>
      </c>
      <c r="H1467" s="1" t="s">
        <v>4021</v>
      </c>
      <c r="I1467" s="1" t="s">
        <v>4022</v>
      </c>
      <c r="J1467" s="1" t="s">
        <v>4023</v>
      </c>
      <c r="K1467" s="1" t="n">
        <f aca="false">IF(Search!$D$5="",0,IF(AND(OR(Search!$N$5="",ISNUMBER(SEARCH(Search!$N$5,J1467))),OR(Search!$N$6="",ISNUMBER(SEARCH(Search!$N$6,J1467))),OR(Search!$N$7="",ISNUMBER(SEARCH(Search!$N$7,J1467))),OR(Search!$N$8="",ISNUMBER(SEARCH(Search!$N$8,J1467)))),1,0))</f>
        <v>0</v>
      </c>
      <c r="L1467" s="1" t="n">
        <f aca="false">L1466+K1467</f>
        <v>0</v>
      </c>
    </row>
    <row r="1468" customFormat="false" ht="15" hidden="false" customHeight="true" outlineLevel="0" collapsed="false">
      <c r="A1468" s="1" t="s">
        <v>309</v>
      </c>
      <c r="B1468" s="1" t="s">
        <v>1221</v>
      </c>
      <c r="C1468" s="1" t="n">
        <v>15</v>
      </c>
      <c r="E1468" s="1" t="s">
        <v>4024</v>
      </c>
      <c r="F1468" s="1" t="s">
        <v>2702</v>
      </c>
      <c r="G1468" s="1" t="s">
        <v>524</v>
      </c>
      <c r="H1468" s="1" t="s">
        <v>1847</v>
      </c>
      <c r="I1468" s="1" t="s">
        <v>2391</v>
      </c>
      <c r="J1468" s="1" t="s">
        <v>4025</v>
      </c>
      <c r="K1468" s="1" t="n">
        <f aca="false">IF(Search!$D$5="",0,IF(AND(OR(Search!$N$5="",ISNUMBER(SEARCH(Search!$N$5,J1468))),OR(Search!$N$6="",ISNUMBER(SEARCH(Search!$N$6,J1468))),OR(Search!$N$7="",ISNUMBER(SEARCH(Search!$N$7,J1468))),OR(Search!$N$8="",ISNUMBER(SEARCH(Search!$N$8,J1468)))),1,0))</f>
        <v>0</v>
      </c>
      <c r="L1468" s="1" t="n">
        <f aca="false">L1467+K1468</f>
        <v>0</v>
      </c>
    </row>
    <row r="1469" customFormat="false" ht="15" hidden="false" customHeight="true" outlineLevel="0" collapsed="false">
      <c r="A1469" s="1" t="s">
        <v>309</v>
      </c>
      <c r="B1469" s="1" t="s">
        <v>1221</v>
      </c>
      <c r="C1469" s="1" t="n">
        <v>16</v>
      </c>
      <c r="E1469" s="1" t="s">
        <v>3528</v>
      </c>
      <c r="F1469" s="1" t="s">
        <v>2708</v>
      </c>
      <c r="G1469" s="1" t="s">
        <v>524</v>
      </c>
      <c r="H1469" s="1" t="s">
        <v>4026</v>
      </c>
      <c r="I1469" s="1" t="s">
        <v>4027</v>
      </c>
      <c r="J1469" s="1" t="s">
        <v>4028</v>
      </c>
      <c r="K1469" s="1" t="n">
        <f aca="false">IF(Search!$D$5="",0,IF(AND(OR(Search!$N$5="",ISNUMBER(SEARCH(Search!$N$5,J1469))),OR(Search!$N$6="",ISNUMBER(SEARCH(Search!$N$6,J1469))),OR(Search!$N$7="",ISNUMBER(SEARCH(Search!$N$7,J1469))),OR(Search!$N$8="",ISNUMBER(SEARCH(Search!$N$8,J1469)))),1,0))</f>
        <v>0</v>
      </c>
      <c r="L1469" s="1" t="n">
        <f aca="false">L1468+K1469</f>
        <v>0</v>
      </c>
    </row>
    <row r="1470" customFormat="false" ht="15" hidden="false" customHeight="true" outlineLevel="0" collapsed="false">
      <c r="A1470" s="1" t="s">
        <v>309</v>
      </c>
      <c r="B1470" s="1" t="s">
        <v>1221</v>
      </c>
      <c r="C1470" s="1" t="n">
        <v>17</v>
      </c>
      <c r="E1470" s="1" t="s">
        <v>3528</v>
      </c>
      <c r="F1470" s="1" t="s">
        <v>2377</v>
      </c>
      <c r="G1470" s="1" t="s">
        <v>524</v>
      </c>
      <c r="H1470" s="1" t="s">
        <v>4029</v>
      </c>
      <c r="I1470" s="1" t="s">
        <v>4030</v>
      </c>
      <c r="J1470" s="1" t="s">
        <v>4031</v>
      </c>
      <c r="K1470" s="1" t="n">
        <f aca="false">IF(Search!$D$5="",0,IF(AND(OR(Search!$N$5="",ISNUMBER(SEARCH(Search!$N$5,J1470))),OR(Search!$N$6="",ISNUMBER(SEARCH(Search!$N$6,J1470))),OR(Search!$N$7="",ISNUMBER(SEARCH(Search!$N$7,J1470))),OR(Search!$N$8="",ISNUMBER(SEARCH(Search!$N$8,J1470)))),1,0))</f>
        <v>0</v>
      </c>
      <c r="L1470" s="1" t="n">
        <f aca="false">L1469+K1470</f>
        <v>0</v>
      </c>
    </row>
    <row r="1471" customFormat="false" ht="15" hidden="false" customHeight="true" outlineLevel="0" collapsed="false">
      <c r="A1471" s="1" t="s">
        <v>309</v>
      </c>
      <c r="B1471" s="1" t="s">
        <v>1221</v>
      </c>
      <c r="C1471" s="1" t="n">
        <v>18</v>
      </c>
      <c r="E1471" s="1" t="s">
        <v>3528</v>
      </c>
      <c r="F1471" s="1" t="s">
        <v>1834</v>
      </c>
      <c r="G1471" s="1" t="s">
        <v>1847</v>
      </c>
      <c r="H1471" s="1" t="s">
        <v>2667</v>
      </c>
      <c r="I1471" s="1" t="s">
        <v>2668</v>
      </c>
      <c r="J1471" s="1" t="s">
        <v>4032</v>
      </c>
      <c r="K1471" s="1" t="n">
        <f aca="false">IF(Search!$D$5="",0,IF(AND(OR(Search!$N$5="",ISNUMBER(SEARCH(Search!$N$5,J1471))),OR(Search!$N$6="",ISNUMBER(SEARCH(Search!$N$6,J1471))),OR(Search!$N$7="",ISNUMBER(SEARCH(Search!$N$7,J1471))),OR(Search!$N$8="",ISNUMBER(SEARCH(Search!$N$8,J1471)))),1,0))</f>
        <v>0</v>
      </c>
      <c r="L1471" s="1" t="n">
        <f aca="false">L1470+K1471</f>
        <v>0</v>
      </c>
    </row>
    <row r="1472" customFormat="false" ht="15" hidden="false" customHeight="true" outlineLevel="0" collapsed="false">
      <c r="A1472" s="1" t="s">
        <v>309</v>
      </c>
      <c r="B1472" s="1" t="s">
        <v>1221</v>
      </c>
      <c r="C1472" s="1" t="n">
        <v>19</v>
      </c>
      <c r="E1472" s="1" t="s">
        <v>3528</v>
      </c>
      <c r="F1472" s="1" t="s">
        <v>1838</v>
      </c>
      <c r="G1472" s="1" t="s">
        <v>524</v>
      </c>
      <c r="H1472" s="1" t="s">
        <v>1603</v>
      </c>
      <c r="I1472" s="1" t="s">
        <v>1604</v>
      </c>
      <c r="J1472" s="1" t="s">
        <v>4033</v>
      </c>
      <c r="K1472" s="1" t="n">
        <f aca="false">IF(Search!$D$5="",0,IF(AND(OR(Search!$N$5="",ISNUMBER(SEARCH(Search!$N$5,J1472))),OR(Search!$N$6="",ISNUMBER(SEARCH(Search!$N$6,J1472))),OR(Search!$N$7="",ISNUMBER(SEARCH(Search!$N$7,J1472))),OR(Search!$N$8="",ISNUMBER(SEARCH(Search!$N$8,J1472)))),1,0))</f>
        <v>0</v>
      </c>
      <c r="L1472" s="1" t="n">
        <f aca="false">L1471+K1472</f>
        <v>0</v>
      </c>
    </row>
    <row r="1473" customFormat="false" ht="15" hidden="false" customHeight="true" outlineLevel="0" collapsed="false">
      <c r="A1473" s="1" t="s">
        <v>309</v>
      </c>
      <c r="B1473" s="1" t="s">
        <v>1221</v>
      </c>
      <c r="C1473" s="1" t="n">
        <v>20</v>
      </c>
      <c r="E1473" s="1" t="s">
        <v>4034</v>
      </c>
      <c r="F1473" s="1" t="s">
        <v>1919</v>
      </c>
      <c r="G1473" s="1" t="s">
        <v>1929</v>
      </c>
      <c r="H1473" s="1" t="s">
        <v>1521</v>
      </c>
      <c r="I1473" s="1" t="s">
        <v>4035</v>
      </c>
      <c r="J1473" s="1" t="s">
        <v>4036</v>
      </c>
      <c r="K1473" s="1" t="n">
        <f aca="false">IF(Search!$D$5="",0,IF(AND(OR(Search!$N$5="",ISNUMBER(SEARCH(Search!$N$5,J1473))),OR(Search!$N$6="",ISNUMBER(SEARCH(Search!$N$6,J1473))),OR(Search!$N$7="",ISNUMBER(SEARCH(Search!$N$7,J1473))),OR(Search!$N$8="",ISNUMBER(SEARCH(Search!$N$8,J1473)))),1,0))</f>
        <v>0</v>
      </c>
      <c r="L1473" s="1" t="n">
        <f aca="false">L1472+K1473</f>
        <v>0</v>
      </c>
    </row>
    <row r="1474" customFormat="false" ht="15" hidden="false" customHeight="true" outlineLevel="0" collapsed="false">
      <c r="A1474" s="1" t="s">
        <v>309</v>
      </c>
      <c r="B1474" s="1" t="s">
        <v>1221</v>
      </c>
      <c r="C1474" s="1" t="n">
        <v>21</v>
      </c>
      <c r="E1474" s="1" t="s">
        <v>4037</v>
      </c>
      <c r="F1474" s="1" t="s">
        <v>4038</v>
      </c>
      <c r="G1474" s="1" t="s">
        <v>524</v>
      </c>
      <c r="H1474" s="1" t="s">
        <v>4039</v>
      </c>
      <c r="I1474" s="1" t="s">
        <v>4040</v>
      </c>
      <c r="J1474" s="1" t="s">
        <v>4041</v>
      </c>
      <c r="K1474" s="1" t="n">
        <f aca="false">IF(Search!$D$5="",0,IF(AND(OR(Search!$N$5="",ISNUMBER(SEARCH(Search!$N$5,J1474))),OR(Search!$N$6="",ISNUMBER(SEARCH(Search!$N$6,J1474))),OR(Search!$N$7="",ISNUMBER(SEARCH(Search!$N$7,J1474))),OR(Search!$N$8="",ISNUMBER(SEARCH(Search!$N$8,J1474)))),1,0))</f>
        <v>0</v>
      </c>
      <c r="L1474" s="1" t="n">
        <f aca="false">L1473+K1474</f>
        <v>0</v>
      </c>
    </row>
    <row r="1475" customFormat="false" ht="15" hidden="false" customHeight="true" outlineLevel="0" collapsed="false">
      <c r="A1475" s="1" t="s">
        <v>309</v>
      </c>
      <c r="B1475" s="1" t="s">
        <v>1221</v>
      </c>
      <c r="C1475" s="1" t="n">
        <v>22</v>
      </c>
      <c r="E1475" s="1" t="s">
        <v>4037</v>
      </c>
      <c r="F1475" s="1" t="s">
        <v>1588</v>
      </c>
      <c r="G1475" s="1" t="s">
        <v>524</v>
      </c>
      <c r="H1475" s="1" t="s">
        <v>4042</v>
      </c>
      <c r="I1475" s="1" t="s">
        <v>4043</v>
      </c>
      <c r="J1475" s="1" t="s">
        <v>4044</v>
      </c>
      <c r="K1475" s="1" t="n">
        <f aca="false">IF(Search!$D$5="",0,IF(AND(OR(Search!$N$5="",ISNUMBER(SEARCH(Search!$N$5,J1475))),OR(Search!$N$6="",ISNUMBER(SEARCH(Search!$N$6,J1475))),OR(Search!$N$7="",ISNUMBER(SEARCH(Search!$N$7,J1475))),OR(Search!$N$8="",ISNUMBER(SEARCH(Search!$N$8,J1475)))),1,0))</f>
        <v>0</v>
      </c>
      <c r="L1475" s="1" t="n">
        <f aca="false">L1474+K1475</f>
        <v>0</v>
      </c>
    </row>
    <row r="1476" customFormat="false" ht="15" hidden="false" customHeight="true" outlineLevel="0" collapsed="false">
      <c r="A1476" s="1" t="s">
        <v>309</v>
      </c>
      <c r="B1476" s="1" t="s">
        <v>1221</v>
      </c>
      <c r="C1476" s="1" t="n">
        <v>23</v>
      </c>
      <c r="E1476" s="1" t="s">
        <v>4037</v>
      </c>
      <c r="F1476" s="1" t="s">
        <v>4045</v>
      </c>
      <c r="G1476" s="1" t="s">
        <v>1847</v>
      </c>
      <c r="H1476" s="1" t="s">
        <v>524</v>
      </c>
      <c r="I1476" s="1" t="s">
        <v>524</v>
      </c>
      <c r="J1476" s="1" t="s">
        <v>4046</v>
      </c>
      <c r="K1476" s="1" t="n">
        <f aca="false">IF(Search!$D$5="",0,IF(AND(OR(Search!$N$5="",ISNUMBER(SEARCH(Search!$N$5,J1476))),OR(Search!$N$6="",ISNUMBER(SEARCH(Search!$N$6,J1476))),OR(Search!$N$7="",ISNUMBER(SEARCH(Search!$N$7,J1476))),OR(Search!$N$8="",ISNUMBER(SEARCH(Search!$N$8,J1476)))),1,0))</f>
        <v>0</v>
      </c>
      <c r="L1476" s="1" t="n">
        <f aca="false">L1475+K1476</f>
        <v>0</v>
      </c>
    </row>
    <row r="1477" customFormat="false" ht="15" hidden="false" customHeight="true" outlineLevel="0" collapsed="false">
      <c r="A1477" s="1" t="s">
        <v>309</v>
      </c>
      <c r="B1477" s="1" t="s">
        <v>1221</v>
      </c>
      <c r="C1477" s="1" t="n">
        <v>24</v>
      </c>
      <c r="E1477" s="1" t="s">
        <v>4037</v>
      </c>
      <c r="F1477" s="1" t="s">
        <v>1838</v>
      </c>
      <c r="G1477" s="1" t="s">
        <v>1904</v>
      </c>
      <c r="H1477" s="1" t="s">
        <v>1741</v>
      </c>
      <c r="I1477" s="1" t="s">
        <v>1742</v>
      </c>
      <c r="J1477" s="1" t="s">
        <v>4047</v>
      </c>
      <c r="K1477" s="1" t="n">
        <f aca="false">IF(Search!$D$5="",0,IF(AND(OR(Search!$N$5="",ISNUMBER(SEARCH(Search!$N$5,J1477))),OR(Search!$N$6="",ISNUMBER(SEARCH(Search!$N$6,J1477))),OR(Search!$N$7="",ISNUMBER(SEARCH(Search!$N$7,J1477))),OR(Search!$N$8="",ISNUMBER(SEARCH(Search!$N$8,J1477)))),1,0))</f>
        <v>0</v>
      </c>
      <c r="L1477" s="1" t="n">
        <f aca="false">L1476+K1477</f>
        <v>0</v>
      </c>
    </row>
    <row r="1478" customFormat="false" ht="15" hidden="false" customHeight="true" outlineLevel="0" collapsed="false">
      <c r="A1478" s="1" t="s">
        <v>309</v>
      </c>
      <c r="B1478" s="1" t="s">
        <v>1221</v>
      </c>
      <c r="C1478" s="1" t="n">
        <v>25</v>
      </c>
      <c r="E1478" s="1" t="s">
        <v>2275</v>
      </c>
      <c r="F1478" s="1" t="s">
        <v>1919</v>
      </c>
      <c r="G1478" s="1" t="s">
        <v>524</v>
      </c>
      <c r="H1478" s="1" t="s">
        <v>4048</v>
      </c>
      <c r="I1478" s="1" t="s">
        <v>4049</v>
      </c>
      <c r="J1478" s="1" t="s">
        <v>4050</v>
      </c>
      <c r="K1478" s="1" t="n">
        <f aca="false">IF(Search!$D$5="",0,IF(AND(OR(Search!$N$5="",ISNUMBER(SEARCH(Search!$N$5,J1478))),OR(Search!$N$6="",ISNUMBER(SEARCH(Search!$N$6,J1478))),OR(Search!$N$7="",ISNUMBER(SEARCH(Search!$N$7,J1478))),OR(Search!$N$8="",ISNUMBER(SEARCH(Search!$N$8,J1478)))),1,0))</f>
        <v>0</v>
      </c>
      <c r="L1478" s="1" t="n">
        <f aca="false">L1477+K1478</f>
        <v>0</v>
      </c>
    </row>
    <row r="1479" customFormat="false" ht="15" hidden="false" customHeight="true" outlineLevel="0" collapsed="false">
      <c r="A1479" s="1" t="s">
        <v>309</v>
      </c>
      <c r="B1479" s="1" t="s">
        <v>1221</v>
      </c>
      <c r="C1479" s="1" t="n">
        <v>26</v>
      </c>
      <c r="E1479" s="1" t="s">
        <v>2275</v>
      </c>
      <c r="F1479" s="1" t="s">
        <v>2930</v>
      </c>
      <c r="G1479" s="1" t="s">
        <v>524</v>
      </c>
      <c r="H1479" s="1" t="s">
        <v>4051</v>
      </c>
      <c r="I1479" s="1" t="s">
        <v>4052</v>
      </c>
      <c r="J1479" s="1" t="s">
        <v>4053</v>
      </c>
      <c r="K1479" s="1" t="n">
        <f aca="false">IF(Search!$D$5="",0,IF(AND(OR(Search!$N$5="",ISNUMBER(SEARCH(Search!$N$5,J1479))),OR(Search!$N$6="",ISNUMBER(SEARCH(Search!$N$6,J1479))),OR(Search!$N$7="",ISNUMBER(SEARCH(Search!$N$7,J1479))),OR(Search!$N$8="",ISNUMBER(SEARCH(Search!$N$8,J1479)))),1,0))</f>
        <v>0</v>
      </c>
      <c r="L1479" s="1" t="n">
        <f aca="false">L1478+K1479</f>
        <v>0</v>
      </c>
    </row>
    <row r="1480" customFormat="false" ht="15" hidden="false" customHeight="true" outlineLevel="0" collapsed="false">
      <c r="A1480" s="1" t="s">
        <v>309</v>
      </c>
      <c r="B1480" s="1" t="s">
        <v>1221</v>
      </c>
      <c r="C1480" s="1" t="n">
        <v>27</v>
      </c>
      <c r="E1480" s="1" t="s">
        <v>2275</v>
      </c>
      <c r="F1480" s="1" t="s">
        <v>1838</v>
      </c>
      <c r="G1480" s="1" t="s">
        <v>524</v>
      </c>
      <c r="H1480" s="1" t="s">
        <v>4054</v>
      </c>
      <c r="I1480" s="1" t="s">
        <v>4055</v>
      </c>
      <c r="J1480" s="1" t="s">
        <v>4056</v>
      </c>
      <c r="K1480" s="1" t="n">
        <f aca="false">IF(Search!$D$5="",0,IF(AND(OR(Search!$N$5="",ISNUMBER(SEARCH(Search!$N$5,J1480))),OR(Search!$N$6="",ISNUMBER(SEARCH(Search!$N$6,J1480))),OR(Search!$N$7="",ISNUMBER(SEARCH(Search!$N$7,J1480))),OR(Search!$N$8="",ISNUMBER(SEARCH(Search!$N$8,J1480)))),1,0))</f>
        <v>0</v>
      </c>
      <c r="L1480" s="1" t="n">
        <f aca="false">L1479+K1480</f>
        <v>0</v>
      </c>
    </row>
    <row r="1481" customFormat="false" ht="15" hidden="false" customHeight="true" outlineLevel="0" collapsed="false">
      <c r="A1481" s="1" t="s">
        <v>309</v>
      </c>
      <c r="B1481" s="1" t="s">
        <v>1221</v>
      </c>
      <c r="C1481" s="1" t="n">
        <v>28</v>
      </c>
      <c r="E1481" s="1" t="s">
        <v>2275</v>
      </c>
      <c r="F1481" s="1" t="s">
        <v>4057</v>
      </c>
      <c r="G1481" s="1" t="s">
        <v>1975</v>
      </c>
      <c r="H1481" s="1" t="s">
        <v>1749</v>
      </c>
      <c r="I1481" s="1" t="s">
        <v>1750</v>
      </c>
      <c r="J1481" s="1" t="s">
        <v>4058</v>
      </c>
      <c r="K1481" s="1" t="n">
        <f aca="false">IF(Search!$D$5="",0,IF(AND(OR(Search!$N$5="",ISNUMBER(SEARCH(Search!$N$5,J1481))),OR(Search!$N$6="",ISNUMBER(SEARCH(Search!$N$6,J1481))),OR(Search!$N$7="",ISNUMBER(SEARCH(Search!$N$7,J1481))),OR(Search!$N$8="",ISNUMBER(SEARCH(Search!$N$8,J1481)))),1,0))</f>
        <v>0</v>
      </c>
      <c r="L1481" s="1" t="n">
        <f aca="false">L1480+K1481</f>
        <v>0</v>
      </c>
    </row>
    <row r="1482" customFormat="false" ht="15" hidden="false" customHeight="true" outlineLevel="0" collapsed="false">
      <c r="A1482" s="1" t="s">
        <v>309</v>
      </c>
      <c r="B1482" s="1" t="s">
        <v>1221</v>
      </c>
      <c r="C1482" s="1" t="n">
        <v>29</v>
      </c>
      <c r="E1482" s="1" t="s">
        <v>2275</v>
      </c>
      <c r="F1482" s="1" t="s">
        <v>1929</v>
      </c>
      <c r="G1482" s="1" t="s">
        <v>3547</v>
      </c>
      <c r="H1482" s="1" t="s">
        <v>583</v>
      </c>
      <c r="I1482" s="1" t="s">
        <v>3646</v>
      </c>
      <c r="J1482" s="1" t="s">
        <v>4059</v>
      </c>
      <c r="K1482" s="1" t="n">
        <f aca="false">IF(Search!$D$5="",0,IF(AND(OR(Search!$N$5="",ISNUMBER(SEARCH(Search!$N$5,J1482))),OR(Search!$N$6="",ISNUMBER(SEARCH(Search!$N$6,J1482))),OR(Search!$N$7="",ISNUMBER(SEARCH(Search!$N$7,J1482))),OR(Search!$N$8="",ISNUMBER(SEARCH(Search!$N$8,J1482)))),1,0))</f>
        <v>0</v>
      </c>
      <c r="L1482" s="1" t="n">
        <f aca="false">L1481+K1482</f>
        <v>0</v>
      </c>
    </row>
    <row r="1483" customFormat="false" ht="15" hidden="false" customHeight="true" outlineLevel="0" collapsed="false">
      <c r="A1483" s="1" t="s">
        <v>309</v>
      </c>
      <c r="B1483" s="1" t="s">
        <v>1221</v>
      </c>
      <c r="C1483" s="1" t="n">
        <v>30</v>
      </c>
      <c r="E1483" s="1" t="s">
        <v>4060</v>
      </c>
      <c r="F1483" s="1" t="s">
        <v>2400</v>
      </c>
      <c r="G1483" s="1" t="s">
        <v>1975</v>
      </c>
      <c r="H1483" s="1" t="s">
        <v>1749</v>
      </c>
      <c r="I1483" s="1" t="s">
        <v>1750</v>
      </c>
      <c r="J1483" s="1" t="s">
        <v>4061</v>
      </c>
      <c r="K1483" s="1" t="n">
        <f aca="false">IF(Search!$D$5="",0,IF(AND(OR(Search!$N$5="",ISNUMBER(SEARCH(Search!$N$5,J1483))),OR(Search!$N$6="",ISNUMBER(SEARCH(Search!$N$6,J1483))),OR(Search!$N$7="",ISNUMBER(SEARCH(Search!$N$7,J1483))),OR(Search!$N$8="",ISNUMBER(SEARCH(Search!$N$8,J1483)))),1,0))</f>
        <v>0</v>
      </c>
      <c r="L1483" s="1" t="n">
        <f aca="false">L1482+K1483</f>
        <v>0</v>
      </c>
    </row>
    <row r="1484" customFormat="false" ht="15" hidden="false" customHeight="true" outlineLevel="0" collapsed="false">
      <c r="A1484" s="1" t="s">
        <v>309</v>
      </c>
      <c r="B1484" s="1" t="s">
        <v>1221</v>
      </c>
      <c r="C1484" s="1" t="n">
        <v>31</v>
      </c>
      <c r="E1484" s="1" t="s">
        <v>4060</v>
      </c>
      <c r="F1484" s="1" t="s">
        <v>1943</v>
      </c>
      <c r="G1484" s="1" t="s">
        <v>3251</v>
      </c>
      <c r="H1484" s="1" t="s">
        <v>4062</v>
      </c>
      <c r="I1484" s="1" t="s">
        <v>4063</v>
      </c>
      <c r="J1484" s="1" t="s">
        <v>4064</v>
      </c>
      <c r="K1484" s="1" t="n">
        <f aca="false">IF(Search!$D$5="",0,IF(AND(OR(Search!$N$5="",ISNUMBER(SEARCH(Search!$N$5,J1484))),OR(Search!$N$6="",ISNUMBER(SEARCH(Search!$N$6,J1484))),OR(Search!$N$7="",ISNUMBER(SEARCH(Search!$N$7,J1484))),OR(Search!$N$8="",ISNUMBER(SEARCH(Search!$N$8,J1484)))),1,0))</f>
        <v>0</v>
      </c>
      <c r="L1484" s="1" t="n">
        <f aca="false">L1483+K1484</f>
        <v>0</v>
      </c>
    </row>
    <row r="1485" customFormat="false" ht="15" hidden="false" customHeight="true" outlineLevel="0" collapsed="false">
      <c r="A1485" s="1" t="s">
        <v>309</v>
      </c>
      <c r="B1485" s="1" t="s">
        <v>1221</v>
      </c>
      <c r="C1485" s="1" t="n">
        <v>32</v>
      </c>
      <c r="E1485" s="1" t="s">
        <v>4065</v>
      </c>
      <c r="F1485" s="1" t="s">
        <v>1847</v>
      </c>
      <c r="G1485" s="1" t="s">
        <v>3547</v>
      </c>
      <c r="H1485" s="1" t="s">
        <v>4066</v>
      </c>
      <c r="I1485" s="1" t="s">
        <v>4067</v>
      </c>
      <c r="J1485" s="1" t="s">
        <v>4068</v>
      </c>
      <c r="K1485" s="1" t="n">
        <f aca="false">IF(Search!$D$5="",0,IF(AND(OR(Search!$N$5="",ISNUMBER(SEARCH(Search!$N$5,J1485))),OR(Search!$N$6="",ISNUMBER(SEARCH(Search!$N$6,J1485))),OR(Search!$N$7="",ISNUMBER(SEARCH(Search!$N$7,J1485))),OR(Search!$N$8="",ISNUMBER(SEARCH(Search!$N$8,J1485)))),1,0))</f>
        <v>0</v>
      </c>
      <c r="L1485" s="1" t="n">
        <f aca="false">L1484+K1485</f>
        <v>0</v>
      </c>
    </row>
    <row r="1486" customFormat="false" ht="15" hidden="false" customHeight="true" outlineLevel="0" collapsed="false">
      <c r="A1486" s="1" t="s">
        <v>309</v>
      </c>
      <c r="B1486" s="1" t="s">
        <v>1221</v>
      </c>
      <c r="C1486" s="1" t="n">
        <v>33</v>
      </c>
      <c r="E1486" s="1" t="s">
        <v>4065</v>
      </c>
      <c r="F1486" s="1" t="s">
        <v>1904</v>
      </c>
      <c r="G1486" s="1" t="s">
        <v>524</v>
      </c>
      <c r="H1486" s="1" t="s">
        <v>4069</v>
      </c>
      <c r="I1486" s="1" t="s">
        <v>4070</v>
      </c>
      <c r="J1486" s="1" t="s">
        <v>4071</v>
      </c>
      <c r="K1486" s="1" t="n">
        <f aca="false">IF(Search!$D$5="",0,IF(AND(OR(Search!$N$5="",ISNUMBER(SEARCH(Search!$N$5,J1486))),OR(Search!$N$6="",ISNUMBER(SEARCH(Search!$N$6,J1486))),OR(Search!$N$7="",ISNUMBER(SEARCH(Search!$N$7,J1486))),OR(Search!$N$8="",ISNUMBER(SEARCH(Search!$N$8,J1486)))),1,0))</f>
        <v>0</v>
      </c>
      <c r="L1486" s="1" t="n">
        <f aca="false">L1485+K1486</f>
        <v>0</v>
      </c>
    </row>
    <row r="1487" customFormat="false" ht="15" hidden="false" customHeight="true" outlineLevel="0" collapsed="false">
      <c r="A1487" s="1" t="s">
        <v>309</v>
      </c>
      <c r="B1487" s="1" t="s">
        <v>1221</v>
      </c>
      <c r="C1487" s="1" t="n">
        <v>34</v>
      </c>
      <c r="E1487" s="1" t="s">
        <v>4072</v>
      </c>
      <c r="F1487" s="1" t="s">
        <v>1904</v>
      </c>
      <c r="G1487" s="1" t="s">
        <v>524</v>
      </c>
      <c r="H1487" s="1" t="s">
        <v>4069</v>
      </c>
      <c r="I1487" s="1" t="s">
        <v>4070</v>
      </c>
      <c r="J1487" s="1" t="s">
        <v>4073</v>
      </c>
      <c r="K1487" s="1" t="n">
        <f aca="false">IF(Search!$D$5="",0,IF(AND(OR(Search!$N$5="",ISNUMBER(SEARCH(Search!$N$5,J1487))),OR(Search!$N$6="",ISNUMBER(SEARCH(Search!$N$6,J1487))),OR(Search!$N$7="",ISNUMBER(SEARCH(Search!$N$7,J1487))),OR(Search!$N$8="",ISNUMBER(SEARCH(Search!$N$8,J1487)))),1,0))</f>
        <v>0</v>
      </c>
      <c r="L1487" s="1" t="n">
        <f aca="false">L1486+K1487</f>
        <v>0</v>
      </c>
    </row>
    <row r="1488" customFormat="false" ht="15" hidden="false" customHeight="true" outlineLevel="0" collapsed="false">
      <c r="A1488" s="1" t="s">
        <v>309</v>
      </c>
      <c r="B1488" s="1" t="s">
        <v>1221</v>
      </c>
      <c r="C1488" s="1" t="n">
        <v>35</v>
      </c>
      <c r="E1488" s="1" t="s">
        <v>4072</v>
      </c>
      <c r="F1488" s="1" t="s">
        <v>1929</v>
      </c>
      <c r="G1488" s="1" t="s">
        <v>2115</v>
      </c>
      <c r="H1488" s="1" t="s">
        <v>4074</v>
      </c>
      <c r="I1488" s="1" t="s">
        <v>4075</v>
      </c>
      <c r="J1488" s="1" t="s">
        <v>4076</v>
      </c>
      <c r="K1488" s="1" t="n">
        <f aca="false">IF(Search!$D$5="",0,IF(AND(OR(Search!$N$5="",ISNUMBER(SEARCH(Search!$N$5,J1488))),OR(Search!$N$6="",ISNUMBER(SEARCH(Search!$N$6,J1488))),OR(Search!$N$7="",ISNUMBER(SEARCH(Search!$N$7,J1488))),OR(Search!$N$8="",ISNUMBER(SEARCH(Search!$N$8,J1488)))),1,0))</f>
        <v>0</v>
      </c>
      <c r="L1488" s="1" t="n">
        <f aca="false">L1487+K1488</f>
        <v>0</v>
      </c>
    </row>
    <row r="1489" customFormat="false" ht="15" hidden="false" customHeight="true" outlineLevel="0" collapsed="false">
      <c r="A1489" s="1" t="s">
        <v>309</v>
      </c>
      <c r="B1489" s="1" t="s">
        <v>1221</v>
      </c>
      <c r="C1489" s="1" t="n">
        <v>36</v>
      </c>
      <c r="E1489" s="1" t="s">
        <v>4077</v>
      </c>
      <c r="F1489" s="1" t="s">
        <v>1847</v>
      </c>
      <c r="G1489" s="1" t="s">
        <v>2115</v>
      </c>
      <c r="H1489" s="1" t="s">
        <v>4078</v>
      </c>
      <c r="I1489" s="1" t="s">
        <v>4079</v>
      </c>
      <c r="J1489" s="1" t="s">
        <v>4080</v>
      </c>
      <c r="K1489" s="1" t="n">
        <f aca="false">IF(Search!$D$5="",0,IF(AND(OR(Search!$N$5="",ISNUMBER(SEARCH(Search!$N$5,J1489))),OR(Search!$N$6="",ISNUMBER(SEARCH(Search!$N$6,J1489))),OR(Search!$N$7="",ISNUMBER(SEARCH(Search!$N$7,J1489))),OR(Search!$N$8="",ISNUMBER(SEARCH(Search!$N$8,J1489)))),1,0))</f>
        <v>0</v>
      </c>
      <c r="L1489" s="1" t="n">
        <f aca="false">L1488+K1489</f>
        <v>0</v>
      </c>
    </row>
    <row r="1490" customFormat="false" ht="15" hidden="false" customHeight="true" outlineLevel="0" collapsed="false">
      <c r="A1490" s="1" t="s">
        <v>309</v>
      </c>
      <c r="B1490" s="1" t="s">
        <v>1221</v>
      </c>
      <c r="C1490" s="1" t="n">
        <v>37</v>
      </c>
      <c r="E1490" s="1" t="s">
        <v>2321</v>
      </c>
      <c r="F1490" s="1" t="s">
        <v>1904</v>
      </c>
      <c r="G1490" s="1" t="s">
        <v>524</v>
      </c>
      <c r="H1490" s="1" t="s">
        <v>4078</v>
      </c>
      <c r="I1490" s="1" t="s">
        <v>4079</v>
      </c>
      <c r="J1490" s="1" t="s">
        <v>4081</v>
      </c>
      <c r="K1490" s="1" t="n">
        <f aca="false">IF(Search!$D$5="",0,IF(AND(OR(Search!$N$5="",ISNUMBER(SEARCH(Search!$N$5,J1490))),OR(Search!$N$6="",ISNUMBER(SEARCH(Search!$N$6,J1490))),OR(Search!$N$7="",ISNUMBER(SEARCH(Search!$N$7,J1490))),OR(Search!$N$8="",ISNUMBER(SEARCH(Search!$N$8,J1490)))),1,0))</f>
        <v>0</v>
      </c>
      <c r="L1490" s="1" t="n">
        <f aca="false">L1489+K1490</f>
        <v>0</v>
      </c>
    </row>
    <row r="1491" customFormat="false" ht="15" hidden="false" customHeight="true" outlineLevel="0" collapsed="false">
      <c r="A1491" s="1" t="s">
        <v>309</v>
      </c>
      <c r="B1491" s="1" t="s">
        <v>1221</v>
      </c>
      <c r="C1491" s="1" t="n">
        <v>38</v>
      </c>
      <c r="E1491" s="1" t="s">
        <v>4082</v>
      </c>
      <c r="F1491" s="1" t="s">
        <v>1904</v>
      </c>
      <c r="G1491" s="1" t="s">
        <v>627</v>
      </c>
      <c r="H1491" s="1" t="s">
        <v>4083</v>
      </c>
      <c r="I1491" s="1" t="s">
        <v>4084</v>
      </c>
      <c r="J1491" s="1" t="s">
        <v>4085</v>
      </c>
      <c r="K1491" s="1" t="n">
        <f aca="false">IF(Search!$D$5="",0,IF(AND(OR(Search!$N$5="",ISNUMBER(SEARCH(Search!$N$5,J1491))),OR(Search!$N$6="",ISNUMBER(SEARCH(Search!$N$6,J1491))),OR(Search!$N$7="",ISNUMBER(SEARCH(Search!$N$7,J1491))),OR(Search!$N$8="",ISNUMBER(SEARCH(Search!$N$8,J1491)))),1,0))</f>
        <v>0</v>
      </c>
      <c r="L1491" s="1" t="n">
        <f aca="false">L1490+K1491</f>
        <v>0</v>
      </c>
    </row>
    <row r="1492" customFormat="false" ht="15" hidden="false" customHeight="true" outlineLevel="0" collapsed="false">
      <c r="A1492" s="1" t="s">
        <v>309</v>
      </c>
      <c r="B1492" s="1" t="s">
        <v>1221</v>
      </c>
      <c r="C1492" s="1" t="n">
        <v>39</v>
      </c>
      <c r="E1492" s="1" t="s">
        <v>4086</v>
      </c>
      <c r="F1492" s="1" t="s">
        <v>4087</v>
      </c>
      <c r="G1492" s="1" t="s">
        <v>627</v>
      </c>
      <c r="H1492" s="1" t="s">
        <v>4088</v>
      </c>
      <c r="I1492" s="1" t="s">
        <v>4089</v>
      </c>
      <c r="J1492" s="1" t="s">
        <v>4090</v>
      </c>
      <c r="K1492" s="1" t="n">
        <f aca="false">IF(Search!$D$5="",0,IF(AND(OR(Search!$N$5="",ISNUMBER(SEARCH(Search!$N$5,J1492))),OR(Search!$N$6="",ISNUMBER(SEARCH(Search!$N$6,J1492))),OR(Search!$N$7="",ISNUMBER(SEARCH(Search!$N$7,J1492))),OR(Search!$N$8="",ISNUMBER(SEARCH(Search!$N$8,J1492)))),1,0))</f>
        <v>0</v>
      </c>
      <c r="L1492" s="1" t="n">
        <f aca="false">L1491+K1492</f>
        <v>0</v>
      </c>
    </row>
    <row r="1493" customFormat="false" ht="15" hidden="false" customHeight="true" outlineLevel="0" collapsed="false">
      <c r="A1493" s="1" t="s">
        <v>309</v>
      </c>
      <c r="B1493" s="1" t="s">
        <v>1221</v>
      </c>
      <c r="C1493" s="1" t="n">
        <v>40</v>
      </c>
      <c r="E1493" s="1" t="s">
        <v>4091</v>
      </c>
      <c r="F1493" s="1" t="s">
        <v>1904</v>
      </c>
      <c r="G1493" s="1" t="s">
        <v>3547</v>
      </c>
      <c r="H1493" s="1" t="s">
        <v>3811</v>
      </c>
      <c r="I1493" s="1" t="s">
        <v>3812</v>
      </c>
      <c r="J1493" s="1" t="s">
        <v>4092</v>
      </c>
      <c r="K1493" s="1" t="n">
        <f aca="false">IF(Search!$D$5="",0,IF(AND(OR(Search!$N$5="",ISNUMBER(SEARCH(Search!$N$5,J1493))),OR(Search!$N$6="",ISNUMBER(SEARCH(Search!$N$6,J1493))),OR(Search!$N$7="",ISNUMBER(SEARCH(Search!$N$7,J1493))),OR(Search!$N$8="",ISNUMBER(SEARCH(Search!$N$8,J1493)))),1,0))</f>
        <v>0</v>
      </c>
      <c r="L1493" s="1" t="n">
        <f aca="false">L1492+K1493</f>
        <v>0</v>
      </c>
    </row>
    <row r="1494" customFormat="false" ht="15" hidden="false" customHeight="true" outlineLevel="0" collapsed="false">
      <c r="A1494" s="1" t="s">
        <v>309</v>
      </c>
      <c r="B1494" s="1" t="s">
        <v>1221</v>
      </c>
      <c r="C1494" s="1" t="n">
        <v>41</v>
      </c>
      <c r="E1494" s="1" t="s">
        <v>4091</v>
      </c>
      <c r="F1494" s="1" t="s">
        <v>3547</v>
      </c>
      <c r="G1494" s="1" t="s">
        <v>524</v>
      </c>
      <c r="H1494" s="1" t="s">
        <v>524</v>
      </c>
      <c r="I1494" s="1" t="s">
        <v>524</v>
      </c>
      <c r="J1494" s="1" t="s">
        <v>4093</v>
      </c>
      <c r="K1494" s="1" t="n">
        <f aca="false">IF(Search!$D$5="",0,IF(AND(OR(Search!$N$5="",ISNUMBER(SEARCH(Search!$N$5,J1494))),OR(Search!$N$6="",ISNUMBER(SEARCH(Search!$N$6,J1494))),OR(Search!$N$7="",ISNUMBER(SEARCH(Search!$N$7,J1494))),OR(Search!$N$8="",ISNUMBER(SEARCH(Search!$N$8,J1494)))),1,0))</f>
        <v>0</v>
      </c>
      <c r="L1494" s="1" t="n">
        <f aca="false">L1493+K1494</f>
        <v>0</v>
      </c>
    </row>
    <row r="1495" customFormat="false" ht="15" hidden="false" customHeight="true" outlineLevel="0" collapsed="false">
      <c r="A1495" s="1" t="s">
        <v>309</v>
      </c>
      <c r="B1495" s="1" t="s">
        <v>1221</v>
      </c>
      <c r="C1495" s="1" t="n">
        <v>42</v>
      </c>
      <c r="E1495" s="1" t="s">
        <v>4094</v>
      </c>
      <c r="F1495" s="1" t="s">
        <v>1929</v>
      </c>
      <c r="G1495" s="1" t="s">
        <v>2015</v>
      </c>
      <c r="H1495" s="1" t="s">
        <v>4095</v>
      </c>
      <c r="I1495" s="1" t="s">
        <v>4096</v>
      </c>
      <c r="J1495" s="1" t="s">
        <v>4097</v>
      </c>
      <c r="K1495" s="1" t="n">
        <f aca="false">IF(Search!$D$5="",0,IF(AND(OR(Search!$N$5="",ISNUMBER(SEARCH(Search!$N$5,J1495))),OR(Search!$N$6="",ISNUMBER(SEARCH(Search!$N$6,J1495))),OR(Search!$N$7="",ISNUMBER(SEARCH(Search!$N$7,J1495))),OR(Search!$N$8="",ISNUMBER(SEARCH(Search!$N$8,J1495)))),1,0))</f>
        <v>0</v>
      </c>
      <c r="L1495" s="1" t="n">
        <f aca="false">L1494+K1495</f>
        <v>0</v>
      </c>
    </row>
    <row r="1496" customFormat="false" ht="15" hidden="false" customHeight="true" outlineLevel="0" collapsed="false">
      <c r="A1496" s="1" t="s">
        <v>309</v>
      </c>
      <c r="B1496" s="1" t="s">
        <v>1221</v>
      </c>
      <c r="C1496" s="1" t="n">
        <v>43</v>
      </c>
      <c r="E1496" s="1" t="s">
        <v>4094</v>
      </c>
      <c r="F1496" s="1" t="s">
        <v>2115</v>
      </c>
      <c r="G1496" s="1" t="s">
        <v>2501</v>
      </c>
      <c r="H1496" s="1" t="s">
        <v>4012</v>
      </c>
      <c r="I1496" s="1" t="s">
        <v>4098</v>
      </c>
      <c r="J1496" s="1" t="s">
        <v>4099</v>
      </c>
      <c r="K1496" s="1" t="n">
        <f aca="false">IF(Search!$D$5="",0,IF(AND(OR(Search!$N$5="",ISNUMBER(SEARCH(Search!$N$5,J1496))),OR(Search!$N$6="",ISNUMBER(SEARCH(Search!$N$6,J1496))),OR(Search!$N$7="",ISNUMBER(SEARCH(Search!$N$7,J1496))),OR(Search!$N$8="",ISNUMBER(SEARCH(Search!$N$8,J1496)))),1,0))</f>
        <v>0</v>
      </c>
      <c r="L1496" s="1" t="n">
        <f aca="false">L1495+K1496</f>
        <v>0</v>
      </c>
    </row>
    <row r="1497" customFormat="false" ht="15" hidden="false" customHeight="true" outlineLevel="0" collapsed="false">
      <c r="A1497" s="1" t="s">
        <v>309</v>
      </c>
      <c r="B1497" s="1" t="s">
        <v>1221</v>
      </c>
      <c r="C1497" s="1" t="n">
        <v>44</v>
      </c>
      <c r="E1497" s="1" t="s">
        <v>4100</v>
      </c>
      <c r="F1497" s="1" t="s">
        <v>1929</v>
      </c>
      <c r="G1497" s="1" t="s">
        <v>524</v>
      </c>
      <c r="H1497" s="1" t="s">
        <v>4101</v>
      </c>
      <c r="I1497" s="1" t="s">
        <v>4102</v>
      </c>
      <c r="J1497" s="1" t="s">
        <v>4103</v>
      </c>
      <c r="K1497" s="1" t="n">
        <f aca="false">IF(Search!$D$5="",0,IF(AND(OR(Search!$N$5="",ISNUMBER(SEARCH(Search!$N$5,J1497))),OR(Search!$N$6="",ISNUMBER(SEARCH(Search!$N$6,J1497))),OR(Search!$N$7="",ISNUMBER(SEARCH(Search!$N$7,J1497))),OR(Search!$N$8="",ISNUMBER(SEARCH(Search!$N$8,J1497)))),1,0))</f>
        <v>0</v>
      </c>
      <c r="L1497" s="1" t="n">
        <f aca="false">L1496+K1497</f>
        <v>0</v>
      </c>
    </row>
    <row r="1498" customFormat="false" ht="15" hidden="false" customHeight="true" outlineLevel="0" collapsed="false">
      <c r="A1498" s="1" t="s">
        <v>309</v>
      </c>
      <c r="B1498" s="1" t="s">
        <v>1221</v>
      </c>
      <c r="C1498" s="1" t="n">
        <v>45</v>
      </c>
      <c r="E1498" s="1" t="s">
        <v>4100</v>
      </c>
      <c r="F1498" s="1" t="s">
        <v>2276</v>
      </c>
      <c r="G1498" s="1" t="s">
        <v>524</v>
      </c>
      <c r="H1498" s="1" t="s">
        <v>4104</v>
      </c>
      <c r="I1498" s="1" t="s">
        <v>4105</v>
      </c>
      <c r="J1498" s="1" t="s">
        <v>4106</v>
      </c>
      <c r="K1498" s="1" t="n">
        <f aca="false">IF(Search!$D$5="",0,IF(AND(OR(Search!$N$5="",ISNUMBER(SEARCH(Search!$N$5,J1498))),OR(Search!$N$6="",ISNUMBER(SEARCH(Search!$N$6,J1498))),OR(Search!$N$7="",ISNUMBER(SEARCH(Search!$N$7,J1498))),OR(Search!$N$8="",ISNUMBER(SEARCH(Search!$N$8,J1498)))),1,0))</f>
        <v>0</v>
      </c>
      <c r="L1498" s="1" t="n">
        <f aca="false">L1497+K1498</f>
        <v>0</v>
      </c>
    </row>
    <row r="1499" customFormat="false" ht="15" hidden="false" customHeight="true" outlineLevel="0" collapsed="false">
      <c r="A1499" s="1" t="s">
        <v>309</v>
      </c>
      <c r="B1499" s="1" t="s">
        <v>1221</v>
      </c>
      <c r="C1499" s="1" t="n">
        <v>46</v>
      </c>
      <c r="E1499" s="1" t="s">
        <v>4107</v>
      </c>
      <c r="F1499" s="1" t="s">
        <v>1847</v>
      </c>
      <c r="G1499" s="1" t="s">
        <v>2058</v>
      </c>
      <c r="H1499" s="1" t="s">
        <v>4108</v>
      </c>
      <c r="I1499" s="1" t="s">
        <v>4109</v>
      </c>
      <c r="J1499" s="1" t="s">
        <v>4110</v>
      </c>
      <c r="K1499" s="1" t="n">
        <f aca="false">IF(Search!$D$5="",0,IF(AND(OR(Search!$N$5="",ISNUMBER(SEARCH(Search!$N$5,J1499))),OR(Search!$N$6="",ISNUMBER(SEARCH(Search!$N$6,J1499))),OR(Search!$N$7="",ISNUMBER(SEARCH(Search!$N$7,J1499))),OR(Search!$N$8="",ISNUMBER(SEARCH(Search!$N$8,J1499)))),1,0))</f>
        <v>0</v>
      </c>
      <c r="L1499" s="1" t="n">
        <f aca="false">L1498+K1499</f>
        <v>0</v>
      </c>
    </row>
    <row r="1500" customFormat="false" ht="15" hidden="false" customHeight="true" outlineLevel="0" collapsed="false">
      <c r="A1500" s="1" t="s">
        <v>309</v>
      </c>
      <c r="B1500" s="1" t="s">
        <v>1221</v>
      </c>
      <c r="C1500" s="1" t="n">
        <v>47</v>
      </c>
      <c r="E1500" s="1" t="s">
        <v>4111</v>
      </c>
      <c r="F1500" s="1" t="s">
        <v>1929</v>
      </c>
      <c r="G1500" s="1" t="s">
        <v>2015</v>
      </c>
      <c r="H1500" s="1" t="s">
        <v>3984</v>
      </c>
      <c r="I1500" s="1" t="s">
        <v>4112</v>
      </c>
      <c r="J1500" s="1" t="s">
        <v>4113</v>
      </c>
      <c r="K1500" s="1" t="n">
        <f aca="false">IF(Search!$D$5="",0,IF(AND(OR(Search!$N$5="",ISNUMBER(SEARCH(Search!$N$5,J1500))),OR(Search!$N$6="",ISNUMBER(SEARCH(Search!$N$6,J1500))),OR(Search!$N$7="",ISNUMBER(SEARCH(Search!$N$7,J1500))),OR(Search!$N$8="",ISNUMBER(SEARCH(Search!$N$8,J1500)))),1,0))</f>
        <v>0</v>
      </c>
      <c r="L1500" s="1" t="n">
        <f aca="false">L1499+K1500</f>
        <v>0</v>
      </c>
    </row>
    <row r="1501" customFormat="false" ht="15" hidden="false" customHeight="true" outlineLevel="0" collapsed="false">
      <c r="A1501" s="1" t="s">
        <v>309</v>
      </c>
      <c r="B1501" s="1" t="s">
        <v>1221</v>
      </c>
      <c r="C1501" s="1" t="n">
        <v>48</v>
      </c>
      <c r="E1501" s="1" t="s">
        <v>4111</v>
      </c>
      <c r="F1501" s="1" t="s">
        <v>1975</v>
      </c>
      <c r="G1501" s="1" t="s">
        <v>4114</v>
      </c>
      <c r="H1501" s="1" t="s">
        <v>4115</v>
      </c>
      <c r="I1501" s="1" t="s">
        <v>4116</v>
      </c>
      <c r="J1501" s="1" t="s">
        <v>4117</v>
      </c>
      <c r="K1501" s="1" t="n">
        <f aca="false">IF(Search!$D$5="",0,IF(AND(OR(Search!$N$5="",ISNUMBER(SEARCH(Search!$N$5,J1501))),OR(Search!$N$6="",ISNUMBER(SEARCH(Search!$N$6,J1501))),OR(Search!$N$7="",ISNUMBER(SEARCH(Search!$N$7,J1501))),OR(Search!$N$8="",ISNUMBER(SEARCH(Search!$N$8,J1501)))),1,0))</f>
        <v>0</v>
      </c>
      <c r="L1501" s="1" t="n">
        <f aca="false">L1500+K1501</f>
        <v>0</v>
      </c>
    </row>
    <row r="1502" customFormat="false" ht="15" hidden="false" customHeight="true" outlineLevel="0" collapsed="false">
      <c r="A1502" s="1" t="s">
        <v>309</v>
      </c>
      <c r="B1502" s="1" t="s">
        <v>1221</v>
      </c>
      <c r="C1502" s="1" t="n">
        <v>49</v>
      </c>
      <c r="E1502" s="1" t="s">
        <v>4118</v>
      </c>
      <c r="F1502" s="1" t="s">
        <v>1975</v>
      </c>
      <c r="G1502" s="1" t="s">
        <v>2081</v>
      </c>
      <c r="H1502" s="1" t="s">
        <v>4119</v>
      </c>
      <c r="I1502" s="1" t="s">
        <v>4120</v>
      </c>
      <c r="J1502" s="1" t="s">
        <v>4121</v>
      </c>
      <c r="K1502" s="1" t="n">
        <f aca="false">IF(Search!$D$5="",0,IF(AND(OR(Search!$N$5="",ISNUMBER(SEARCH(Search!$N$5,J1502))),OR(Search!$N$6="",ISNUMBER(SEARCH(Search!$N$6,J1502))),OR(Search!$N$7="",ISNUMBER(SEARCH(Search!$N$7,J1502))),OR(Search!$N$8="",ISNUMBER(SEARCH(Search!$N$8,J1502)))),1,0))</f>
        <v>0</v>
      </c>
      <c r="L1502" s="1" t="n">
        <f aca="false">L1501+K1502</f>
        <v>0</v>
      </c>
    </row>
    <row r="1503" customFormat="false" ht="15" hidden="false" customHeight="true" outlineLevel="0" collapsed="false">
      <c r="A1503" s="1" t="s">
        <v>309</v>
      </c>
      <c r="B1503" s="1" t="s">
        <v>1221</v>
      </c>
      <c r="C1503" s="1" t="n">
        <v>50</v>
      </c>
      <c r="E1503" s="1" t="s">
        <v>4118</v>
      </c>
      <c r="F1503" s="1" t="s">
        <v>3251</v>
      </c>
      <c r="G1503" s="1" t="s">
        <v>2081</v>
      </c>
      <c r="H1503" s="1" t="s">
        <v>4122</v>
      </c>
      <c r="I1503" s="1" t="s">
        <v>4123</v>
      </c>
      <c r="J1503" s="1" t="s">
        <v>4124</v>
      </c>
      <c r="K1503" s="1" t="n">
        <f aca="false">IF(Search!$D$5="",0,IF(AND(OR(Search!$N$5="",ISNUMBER(SEARCH(Search!$N$5,J1503))),OR(Search!$N$6="",ISNUMBER(SEARCH(Search!$N$6,J1503))),OR(Search!$N$7="",ISNUMBER(SEARCH(Search!$N$7,J1503))),OR(Search!$N$8="",ISNUMBER(SEARCH(Search!$N$8,J1503)))),1,0))</f>
        <v>0</v>
      </c>
      <c r="L1503" s="1" t="n">
        <f aca="false">L1502+K1503</f>
        <v>0</v>
      </c>
    </row>
    <row r="1504" customFormat="false" ht="15" hidden="false" customHeight="true" outlineLevel="0" collapsed="false">
      <c r="A1504" s="1" t="s">
        <v>309</v>
      </c>
      <c r="B1504" s="1" t="s">
        <v>1221</v>
      </c>
      <c r="C1504" s="1" t="n">
        <v>51</v>
      </c>
      <c r="E1504" s="1" t="s">
        <v>4125</v>
      </c>
      <c r="F1504" s="1" t="s">
        <v>3251</v>
      </c>
      <c r="G1504" s="1" t="s">
        <v>2081</v>
      </c>
      <c r="H1504" s="1" t="s">
        <v>4122</v>
      </c>
      <c r="I1504" s="1" t="s">
        <v>4123</v>
      </c>
      <c r="J1504" s="1" t="s">
        <v>4126</v>
      </c>
      <c r="K1504" s="1" t="n">
        <f aca="false">IF(Search!$D$5="",0,IF(AND(OR(Search!$N$5="",ISNUMBER(SEARCH(Search!$N$5,J1504))),OR(Search!$N$6="",ISNUMBER(SEARCH(Search!$N$6,J1504))),OR(Search!$N$7="",ISNUMBER(SEARCH(Search!$N$7,J1504))),OR(Search!$N$8="",ISNUMBER(SEARCH(Search!$N$8,J1504)))),1,0))</f>
        <v>0</v>
      </c>
      <c r="L1504" s="1" t="n">
        <f aca="false">L1503+K1504</f>
        <v>0</v>
      </c>
    </row>
    <row r="1505" customFormat="false" ht="15" hidden="false" customHeight="true" outlineLevel="0" collapsed="false">
      <c r="A1505" s="1" t="s">
        <v>309</v>
      </c>
      <c r="B1505" s="1" t="s">
        <v>1221</v>
      </c>
      <c r="C1505" s="1" t="n">
        <v>52</v>
      </c>
      <c r="E1505" s="1" t="s">
        <v>4125</v>
      </c>
      <c r="F1505" s="1" t="s">
        <v>2015</v>
      </c>
      <c r="G1505" s="1" t="s">
        <v>2256</v>
      </c>
      <c r="H1505" s="1" t="s">
        <v>4127</v>
      </c>
      <c r="I1505" s="1" t="s">
        <v>4128</v>
      </c>
      <c r="J1505" s="1" t="s">
        <v>4129</v>
      </c>
      <c r="K1505" s="1" t="n">
        <f aca="false">IF(Search!$D$5="",0,IF(AND(OR(Search!$N$5="",ISNUMBER(SEARCH(Search!$N$5,J1505))),OR(Search!$N$6="",ISNUMBER(SEARCH(Search!$N$6,J1505))),OR(Search!$N$7="",ISNUMBER(SEARCH(Search!$N$7,J1505))),OR(Search!$N$8="",ISNUMBER(SEARCH(Search!$N$8,J1505)))),1,0))</f>
        <v>0</v>
      </c>
      <c r="L1505" s="1" t="n">
        <f aca="false">L1504+K1505</f>
        <v>0</v>
      </c>
    </row>
    <row r="1506" customFormat="false" ht="16.5" hidden="false" customHeight="true" outlineLevel="0" collapsed="false">
      <c r="A1506" s="1" t="s">
        <v>309</v>
      </c>
      <c r="B1506" s="1" t="s">
        <v>1221</v>
      </c>
      <c r="C1506" s="1" t="n">
        <v>55</v>
      </c>
      <c r="E1506" s="1" t="s">
        <v>4130</v>
      </c>
      <c r="J1506" s="1" t="s">
        <v>4130</v>
      </c>
      <c r="K1506" s="1" t="n">
        <f aca="false">IF(Search!$D$5="",0,IF(AND(OR(Search!$N$5="",ISNUMBER(SEARCH(Search!$N$5,J1506))),OR(Search!$N$6="",ISNUMBER(SEARCH(Search!$N$6,J1506))),OR(Search!$N$7="",ISNUMBER(SEARCH(Search!$N$7,J1506))),OR(Search!$N$8="",ISNUMBER(SEARCH(Search!$N$8,J1506)))),1,0))</f>
        <v>0</v>
      </c>
      <c r="L1506" s="1" t="n">
        <f aca="false">L1505+K1506</f>
        <v>0</v>
      </c>
    </row>
    <row r="1507" customFormat="false" ht="41.25" hidden="false" customHeight="true" outlineLevel="0" collapsed="false">
      <c r="A1507" s="1" t="s">
        <v>309</v>
      </c>
      <c r="B1507" s="1" t="s">
        <v>1221</v>
      </c>
      <c r="C1507" s="1" t="n">
        <v>56</v>
      </c>
      <c r="E1507" s="46" t="s">
        <v>4131</v>
      </c>
      <c r="F1507" s="46" t="s">
        <v>3638</v>
      </c>
      <c r="G1507" s="1" t="s">
        <v>2196</v>
      </c>
      <c r="H1507" s="1" t="s">
        <v>2197</v>
      </c>
      <c r="J1507" s="46" t="s">
        <v>4132</v>
      </c>
      <c r="K1507" s="1" t="n">
        <f aca="false">IF(Search!$D$5="",0,IF(AND(OR(Search!$N$5="",ISNUMBER(SEARCH(Search!$N$5,J1507))),OR(Search!$N$6="",ISNUMBER(SEARCH(Search!$N$6,J1507))),OR(Search!$N$7="",ISNUMBER(SEARCH(Search!$N$7,J1507))),OR(Search!$N$8="",ISNUMBER(SEARCH(Search!$N$8,J1507)))),1,0))</f>
        <v>0</v>
      </c>
      <c r="L1507" s="1" t="n">
        <f aca="false">L1506+K1507</f>
        <v>0</v>
      </c>
    </row>
    <row r="1508" customFormat="false" ht="15" hidden="false" customHeight="true" outlineLevel="0" collapsed="false">
      <c r="A1508" s="1" t="s">
        <v>309</v>
      </c>
      <c r="B1508" s="1" t="s">
        <v>1221</v>
      </c>
      <c r="C1508" s="1" t="n">
        <v>57</v>
      </c>
      <c r="E1508" s="1" t="s">
        <v>1838</v>
      </c>
      <c r="F1508" s="1" t="s">
        <v>1668</v>
      </c>
      <c r="G1508" s="1" t="s">
        <v>3742</v>
      </c>
      <c r="H1508" s="1" t="s">
        <v>3743</v>
      </c>
      <c r="J1508" s="1" t="s">
        <v>4133</v>
      </c>
      <c r="K1508" s="1" t="n">
        <f aca="false">IF(Search!$D$5="",0,IF(AND(OR(Search!$N$5="",ISNUMBER(SEARCH(Search!$N$5,J1508))),OR(Search!$N$6="",ISNUMBER(SEARCH(Search!$N$6,J1508))),OR(Search!$N$7="",ISNUMBER(SEARCH(Search!$N$7,J1508))),OR(Search!$N$8="",ISNUMBER(SEARCH(Search!$N$8,J1508)))),1,0))</f>
        <v>0</v>
      </c>
      <c r="L1508" s="1" t="n">
        <f aca="false">L1507+K1508</f>
        <v>0</v>
      </c>
    </row>
    <row r="1509" customFormat="false" ht="15" hidden="false" customHeight="true" outlineLevel="0" collapsed="false">
      <c r="A1509" s="1" t="s">
        <v>309</v>
      </c>
      <c r="B1509" s="1" t="s">
        <v>1221</v>
      </c>
      <c r="C1509" s="1" t="n">
        <v>58</v>
      </c>
      <c r="E1509" s="1" t="s">
        <v>1904</v>
      </c>
      <c r="F1509" s="1" t="s">
        <v>4134</v>
      </c>
      <c r="G1509" s="1" t="s">
        <v>3745</v>
      </c>
      <c r="H1509" s="1" t="s">
        <v>3746</v>
      </c>
      <c r="J1509" s="1" t="s">
        <v>4135</v>
      </c>
      <c r="K1509" s="1" t="n">
        <f aca="false">IF(Search!$D$5="",0,IF(AND(OR(Search!$N$5="",ISNUMBER(SEARCH(Search!$N$5,J1509))),OR(Search!$N$6="",ISNUMBER(SEARCH(Search!$N$6,J1509))),OR(Search!$N$7="",ISNUMBER(SEARCH(Search!$N$7,J1509))),OR(Search!$N$8="",ISNUMBER(SEARCH(Search!$N$8,J1509)))),1,0))</f>
        <v>0</v>
      </c>
      <c r="L1509" s="1" t="n">
        <f aca="false">L1508+K1509</f>
        <v>0</v>
      </c>
    </row>
    <row r="1510" customFormat="false" ht="15" hidden="false" customHeight="true" outlineLevel="0" collapsed="false">
      <c r="A1510" s="1" t="s">
        <v>309</v>
      </c>
      <c r="B1510" s="1" t="s">
        <v>1221</v>
      </c>
      <c r="C1510" s="1" t="n">
        <v>59</v>
      </c>
      <c r="E1510" s="1" t="s">
        <v>1929</v>
      </c>
      <c r="F1510" s="1" t="s">
        <v>1604</v>
      </c>
      <c r="G1510" s="1" t="s">
        <v>3748</v>
      </c>
      <c r="H1510" s="1" t="s">
        <v>3749</v>
      </c>
      <c r="J1510" s="1" t="s">
        <v>4136</v>
      </c>
      <c r="K1510" s="1" t="n">
        <f aca="false">IF(Search!$D$5="",0,IF(AND(OR(Search!$N$5="",ISNUMBER(SEARCH(Search!$N$5,J1510))),OR(Search!$N$6="",ISNUMBER(SEARCH(Search!$N$6,J1510))),OR(Search!$N$7="",ISNUMBER(SEARCH(Search!$N$7,J1510))),OR(Search!$N$8="",ISNUMBER(SEARCH(Search!$N$8,J1510)))),1,0))</f>
        <v>0</v>
      </c>
      <c r="L1510" s="1" t="n">
        <f aca="false">L1509+K1510</f>
        <v>0</v>
      </c>
    </row>
    <row r="1511" customFormat="false" ht="15" hidden="false" customHeight="true" outlineLevel="0" collapsed="false">
      <c r="A1511" s="1" t="s">
        <v>309</v>
      </c>
      <c r="B1511" s="1" t="s">
        <v>1221</v>
      </c>
      <c r="C1511" s="1" t="n">
        <v>60</v>
      </c>
      <c r="E1511" s="1" t="s">
        <v>1975</v>
      </c>
      <c r="F1511" s="1" t="s">
        <v>3717</v>
      </c>
      <c r="G1511" s="1" t="s">
        <v>3751</v>
      </c>
      <c r="H1511" s="1" t="s">
        <v>3752</v>
      </c>
      <c r="J1511" s="1" t="s">
        <v>4137</v>
      </c>
      <c r="K1511" s="1" t="n">
        <f aca="false">IF(Search!$D$5="",0,IF(AND(OR(Search!$N$5="",ISNUMBER(SEARCH(Search!$N$5,J1511))),OR(Search!$N$6="",ISNUMBER(SEARCH(Search!$N$6,J1511))),OR(Search!$N$7="",ISNUMBER(SEARCH(Search!$N$7,J1511))),OR(Search!$N$8="",ISNUMBER(SEARCH(Search!$N$8,J1511)))),1,0))</f>
        <v>0</v>
      </c>
      <c r="L1511" s="1" t="n">
        <f aca="false">L1510+K1511</f>
        <v>0</v>
      </c>
    </row>
    <row r="1512" customFormat="false" ht="15" hidden="false" customHeight="true" outlineLevel="0" collapsed="false">
      <c r="A1512" s="1" t="s">
        <v>309</v>
      </c>
      <c r="B1512" s="1" t="s">
        <v>1221</v>
      </c>
      <c r="C1512" s="1" t="n">
        <v>61</v>
      </c>
      <c r="E1512" s="1" t="s">
        <v>627</v>
      </c>
      <c r="F1512" s="1" t="s">
        <v>4138</v>
      </c>
      <c r="G1512" s="1" t="s">
        <v>3754</v>
      </c>
      <c r="H1512" s="1" t="s">
        <v>3755</v>
      </c>
      <c r="J1512" s="1" t="s">
        <v>4139</v>
      </c>
      <c r="K1512" s="1" t="n">
        <f aca="false">IF(Search!$D$5="",0,IF(AND(OR(Search!$N$5="",ISNUMBER(SEARCH(Search!$N$5,J1512))),OR(Search!$N$6="",ISNUMBER(SEARCH(Search!$N$6,J1512))),OR(Search!$N$7="",ISNUMBER(SEARCH(Search!$N$7,J1512))),OR(Search!$N$8="",ISNUMBER(SEARCH(Search!$N$8,J1512)))),1,0))</f>
        <v>0</v>
      </c>
      <c r="L1512" s="1" t="n">
        <f aca="false">L1511+K1512</f>
        <v>0</v>
      </c>
    </row>
    <row r="1513" customFormat="false" ht="15" hidden="false" customHeight="true" outlineLevel="0" collapsed="false">
      <c r="A1513" s="1" t="s">
        <v>309</v>
      </c>
      <c r="B1513" s="1" t="s">
        <v>1221</v>
      </c>
      <c r="C1513" s="1" t="n">
        <v>62</v>
      </c>
      <c r="E1513" s="1" t="s">
        <v>2015</v>
      </c>
      <c r="F1513" s="1" t="s">
        <v>4140</v>
      </c>
      <c r="G1513" s="1" t="s">
        <v>4141</v>
      </c>
      <c r="H1513" s="1" t="s">
        <v>4142</v>
      </c>
      <c r="J1513" s="1" t="s">
        <v>4143</v>
      </c>
      <c r="K1513" s="1" t="n">
        <f aca="false">IF(Search!$D$5="",0,IF(AND(OR(Search!$N$5="",ISNUMBER(SEARCH(Search!$N$5,J1513))),OR(Search!$N$6="",ISNUMBER(SEARCH(Search!$N$6,J1513))),OR(Search!$N$7="",ISNUMBER(SEARCH(Search!$N$7,J1513))),OR(Search!$N$8="",ISNUMBER(SEARCH(Search!$N$8,J1513)))),1,0))</f>
        <v>0</v>
      </c>
      <c r="L1513" s="1" t="n">
        <f aca="false">L1512+K1513</f>
        <v>0</v>
      </c>
    </row>
    <row r="1514" customFormat="false" ht="15" hidden="false" customHeight="true" outlineLevel="0" collapsed="false">
      <c r="A1514" s="1" t="s">
        <v>309</v>
      </c>
      <c r="B1514" s="1" t="s">
        <v>1221</v>
      </c>
      <c r="C1514" s="1" t="n">
        <v>63</v>
      </c>
      <c r="E1514" s="1" t="s">
        <v>2746</v>
      </c>
      <c r="F1514" s="1" t="s">
        <v>4144</v>
      </c>
      <c r="G1514" s="1" t="s">
        <v>4145</v>
      </c>
      <c r="H1514" s="1" t="s">
        <v>4146</v>
      </c>
      <c r="J1514" s="1" t="s">
        <v>4147</v>
      </c>
      <c r="K1514" s="1" t="n">
        <f aca="false">IF(Search!$D$5="",0,IF(AND(OR(Search!$N$5="",ISNUMBER(SEARCH(Search!$N$5,J1514))),OR(Search!$N$6="",ISNUMBER(SEARCH(Search!$N$6,J1514))),OR(Search!$N$7="",ISNUMBER(SEARCH(Search!$N$7,J1514))),OR(Search!$N$8="",ISNUMBER(SEARCH(Search!$N$8,J1514)))),1,0))</f>
        <v>0</v>
      </c>
      <c r="L1514" s="1" t="n">
        <f aca="false">L1513+K1514</f>
        <v>0</v>
      </c>
    </row>
    <row r="1515" customFormat="false" ht="15" hidden="false" customHeight="true" outlineLevel="0" collapsed="false">
      <c r="A1515" s="1" t="s">
        <v>309</v>
      </c>
      <c r="B1515" s="1" t="s">
        <v>1221</v>
      </c>
      <c r="C1515" s="1" t="n">
        <v>64</v>
      </c>
      <c r="E1515" s="1" t="s">
        <v>2081</v>
      </c>
      <c r="F1515" s="1" t="s">
        <v>4148</v>
      </c>
      <c r="G1515" s="1" t="s">
        <v>4149</v>
      </c>
      <c r="H1515" s="1" t="s">
        <v>4150</v>
      </c>
      <c r="J1515" s="1" t="s">
        <v>4151</v>
      </c>
      <c r="K1515" s="1" t="n">
        <f aca="false">IF(Search!$D$5="",0,IF(AND(OR(Search!$N$5="",ISNUMBER(SEARCH(Search!$N$5,J1515))),OR(Search!$N$6="",ISNUMBER(SEARCH(Search!$N$6,J1515))),OR(Search!$N$7="",ISNUMBER(SEARCH(Search!$N$7,J1515))),OR(Search!$N$8="",ISNUMBER(SEARCH(Search!$N$8,J1515)))),1,0))</f>
        <v>0</v>
      </c>
      <c r="L1515" s="1" t="n">
        <f aca="false">L1514+K1515</f>
        <v>0</v>
      </c>
    </row>
    <row r="1516" customFormat="false" ht="15" hidden="false" customHeight="true" outlineLevel="0" collapsed="false">
      <c r="A1516" s="1" t="s">
        <v>309</v>
      </c>
      <c r="B1516" s="1" t="s">
        <v>1221</v>
      </c>
      <c r="C1516" s="1" t="n">
        <v>65</v>
      </c>
      <c r="E1516" s="1" t="s">
        <v>585</v>
      </c>
      <c r="F1516" s="1" t="s">
        <v>4152</v>
      </c>
      <c r="G1516" s="1" t="s">
        <v>4153</v>
      </c>
      <c r="H1516" s="1" t="s">
        <v>4154</v>
      </c>
      <c r="J1516" s="1" t="s">
        <v>4155</v>
      </c>
      <c r="K1516" s="1" t="n">
        <f aca="false">IF(Search!$D$5="",0,IF(AND(OR(Search!$N$5="",ISNUMBER(SEARCH(Search!$N$5,J1516))),OR(Search!$N$6="",ISNUMBER(SEARCH(Search!$N$6,J1516))),OR(Search!$N$7="",ISNUMBER(SEARCH(Search!$N$7,J1516))),OR(Search!$N$8="",ISNUMBER(SEARCH(Search!$N$8,J1516)))),1,0))</f>
        <v>0</v>
      </c>
      <c r="L1516" s="1" t="n">
        <f aca="false">L1515+K1516</f>
        <v>0</v>
      </c>
    </row>
    <row r="1517" customFormat="false" ht="15" hidden="false" customHeight="true" outlineLevel="0" collapsed="false">
      <c r="A1517" s="1" t="s">
        <v>309</v>
      </c>
      <c r="B1517" s="1" t="s">
        <v>1221</v>
      </c>
      <c r="C1517" s="1" t="n">
        <v>66</v>
      </c>
      <c r="E1517" s="1" t="s">
        <v>580</v>
      </c>
      <c r="F1517" s="1" t="s">
        <v>4156</v>
      </c>
      <c r="G1517" s="1" t="s">
        <v>4157</v>
      </c>
      <c r="H1517" s="1" t="s">
        <v>4158</v>
      </c>
      <c r="J1517" s="1" t="s">
        <v>4159</v>
      </c>
      <c r="K1517" s="1" t="n">
        <f aca="false">IF(Search!$D$5="",0,IF(AND(OR(Search!$N$5="",ISNUMBER(SEARCH(Search!$N$5,J1517))),OR(Search!$N$6="",ISNUMBER(SEARCH(Search!$N$6,J1517))),OR(Search!$N$7="",ISNUMBER(SEARCH(Search!$N$7,J1517))),OR(Search!$N$8="",ISNUMBER(SEARCH(Search!$N$8,J1517)))),1,0))</f>
        <v>0</v>
      </c>
      <c r="L1517" s="1" t="n">
        <f aca="false">L1516+K1517</f>
        <v>0</v>
      </c>
    </row>
    <row r="1518" customFormat="false" ht="15" hidden="false" customHeight="true" outlineLevel="0" collapsed="false">
      <c r="A1518" s="1" t="s">
        <v>309</v>
      </c>
      <c r="B1518" s="1" t="s">
        <v>1221</v>
      </c>
      <c r="C1518" s="1" t="n">
        <v>67</v>
      </c>
      <c r="E1518" s="1" t="s">
        <v>587</v>
      </c>
      <c r="F1518" s="1" t="s">
        <v>4160</v>
      </c>
      <c r="G1518" s="1" t="s">
        <v>4161</v>
      </c>
      <c r="H1518" s="1" t="s">
        <v>4162</v>
      </c>
      <c r="J1518" s="1" t="s">
        <v>4163</v>
      </c>
      <c r="K1518" s="1" t="n">
        <f aca="false">IF(Search!$D$5="",0,IF(AND(OR(Search!$N$5="",ISNUMBER(SEARCH(Search!$N$5,J1518))),OR(Search!$N$6="",ISNUMBER(SEARCH(Search!$N$6,J1518))),OR(Search!$N$7="",ISNUMBER(SEARCH(Search!$N$7,J1518))),OR(Search!$N$8="",ISNUMBER(SEARCH(Search!$N$8,J1518)))),1,0))</f>
        <v>0</v>
      </c>
      <c r="L1518" s="1" t="n">
        <f aca="false">L1517+K1518</f>
        <v>0</v>
      </c>
    </row>
    <row r="1519" customFormat="false" ht="15" hidden="false" customHeight="true" outlineLevel="0" collapsed="false">
      <c r="A1519" s="1" t="s">
        <v>309</v>
      </c>
      <c r="B1519" s="1" t="s">
        <v>1221</v>
      </c>
      <c r="C1519" s="1" t="n">
        <v>68</v>
      </c>
      <c r="E1519" s="1" t="s">
        <v>579</v>
      </c>
      <c r="F1519" s="1" t="s">
        <v>4164</v>
      </c>
      <c r="G1519" s="1" t="s">
        <v>4165</v>
      </c>
      <c r="H1519" s="1" t="s">
        <v>4166</v>
      </c>
      <c r="J1519" s="1" t="s">
        <v>4167</v>
      </c>
      <c r="K1519" s="1" t="n">
        <f aca="false">IF(Search!$D$5="",0,IF(AND(OR(Search!$N$5="",ISNUMBER(SEARCH(Search!$N$5,J1519))),OR(Search!$N$6="",ISNUMBER(SEARCH(Search!$N$6,J1519))),OR(Search!$N$7="",ISNUMBER(SEARCH(Search!$N$7,J1519))),OR(Search!$N$8="",ISNUMBER(SEARCH(Search!$N$8,J1519)))),1,0))</f>
        <v>0</v>
      </c>
      <c r="L1519" s="1" t="n">
        <f aca="false">L1518+K1519</f>
        <v>0</v>
      </c>
    </row>
    <row r="1520" customFormat="false" ht="15" hidden="false" customHeight="true" outlineLevel="0" collapsed="false">
      <c r="A1520" s="1" t="s">
        <v>309</v>
      </c>
      <c r="B1520" s="1" t="s">
        <v>1221</v>
      </c>
      <c r="C1520" s="1" t="n">
        <v>69</v>
      </c>
      <c r="E1520" s="1" t="s">
        <v>583</v>
      </c>
      <c r="F1520" s="1" t="s">
        <v>4168</v>
      </c>
      <c r="G1520" s="1" t="s">
        <v>4169</v>
      </c>
      <c r="H1520" s="1" t="s">
        <v>4170</v>
      </c>
      <c r="J1520" s="1" t="s">
        <v>4171</v>
      </c>
      <c r="K1520" s="1" t="n">
        <f aca="false">IF(Search!$D$5="",0,IF(AND(OR(Search!$N$5="",ISNUMBER(SEARCH(Search!$N$5,J1520))),OR(Search!$N$6="",ISNUMBER(SEARCH(Search!$N$6,J1520))),OR(Search!$N$7="",ISNUMBER(SEARCH(Search!$N$7,J1520))),OR(Search!$N$8="",ISNUMBER(SEARCH(Search!$N$8,J1520)))),1,0))</f>
        <v>0</v>
      </c>
      <c r="L1520" s="1" t="n">
        <f aca="false">L1519+K1520</f>
        <v>0</v>
      </c>
    </row>
    <row r="1521" customFormat="false" ht="15" hidden="false" customHeight="true" outlineLevel="0" collapsed="false">
      <c r="A1521" s="1" t="s">
        <v>309</v>
      </c>
      <c r="B1521" s="1" t="s">
        <v>1221</v>
      </c>
      <c r="C1521" s="1" t="n">
        <v>70</v>
      </c>
      <c r="E1521" s="1" t="s">
        <v>2168</v>
      </c>
      <c r="F1521" s="1" t="s">
        <v>4172</v>
      </c>
      <c r="G1521" s="1" t="s">
        <v>4173</v>
      </c>
      <c r="H1521" s="1" t="s">
        <v>4174</v>
      </c>
      <c r="J1521" s="1" t="s">
        <v>4175</v>
      </c>
      <c r="K1521" s="1" t="n">
        <f aca="false">IF(Search!$D$5="",0,IF(AND(OR(Search!$N$5="",ISNUMBER(SEARCH(Search!$N$5,J1521))),OR(Search!$N$6="",ISNUMBER(SEARCH(Search!$N$6,J1521))),OR(Search!$N$7="",ISNUMBER(SEARCH(Search!$N$7,J1521))),OR(Search!$N$8="",ISNUMBER(SEARCH(Search!$N$8,J1521)))),1,0))</f>
        <v>0</v>
      </c>
      <c r="L1521" s="1" t="n">
        <f aca="false">L1520+K1521</f>
        <v>0</v>
      </c>
    </row>
    <row r="1522" customFormat="false" ht="15" hidden="false" customHeight="true" outlineLevel="0" collapsed="false">
      <c r="A1522" s="1" t="s">
        <v>309</v>
      </c>
      <c r="B1522" s="1" t="s">
        <v>1221</v>
      </c>
      <c r="C1522" s="1" t="n">
        <v>71</v>
      </c>
      <c r="E1522" s="1" t="s">
        <v>577</v>
      </c>
      <c r="F1522" s="1" t="s">
        <v>4176</v>
      </c>
      <c r="G1522" s="1" t="s">
        <v>4177</v>
      </c>
      <c r="H1522" s="1" t="s">
        <v>4178</v>
      </c>
      <c r="J1522" s="1" t="s">
        <v>4179</v>
      </c>
      <c r="K1522" s="1" t="n">
        <f aca="false">IF(Search!$D$5="",0,IF(AND(OR(Search!$N$5="",ISNUMBER(SEARCH(Search!$N$5,J1522))),OR(Search!$N$6="",ISNUMBER(SEARCH(Search!$N$6,J1522))),OR(Search!$N$7="",ISNUMBER(SEARCH(Search!$N$7,J1522))),OR(Search!$N$8="",ISNUMBER(SEARCH(Search!$N$8,J1522)))),1,0))</f>
        <v>0</v>
      </c>
      <c r="L1522" s="1" t="n">
        <f aca="false">L1521+K1522</f>
        <v>0</v>
      </c>
    </row>
    <row r="1523" customFormat="false" ht="15" hidden="false" customHeight="true" outlineLevel="0" collapsed="false">
      <c r="A1523" s="1" t="s">
        <v>309</v>
      </c>
      <c r="B1523" s="1" t="s">
        <v>1221</v>
      </c>
      <c r="C1523" s="1" t="n">
        <v>72</v>
      </c>
      <c r="E1523" s="1" t="s">
        <v>2180</v>
      </c>
      <c r="F1523" s="1" t="s">
        <v>4180</v>
      </c>
      <c r="G1523" s="1" t="s">
        <v>4181</v>
      </c>
      <c r="H1523" s="1" t="s">
        <v>4182</v>
      </c>
      <c r="J1523" s="1" t="s">
        <v>4183</v>
      </c>
      <c r="K1523" s="1" t="n">
        <f aca="false">IF(Search!$D$5="",0,IF(AND(OR(Search!$N$5="",ISNUMBER(SEARCH(Search!$N$5,J1523))),OR(Search!$N$6="",ISNUMBER(SEARCH(Search!$N$6,J1523))),OR(Search!$N$7="",ISNUMBER(SEARCH(Search!$N$7,J1523))),OR(Search!$N$8="",ISNUMBER(SEARCH(Search!$N$8,J1523)))),1,0))</f>
        <v>0</v>
      </c>
      <c r="L1523" s="1" t="n">
        <f aca="false">L1522+K1523</f>
        <v>0</v>
      </c>
    </row>
    <row r="1524" customFormat="false" ht="15" hidden="false" customHeight="true" outlineLevel="0" collapsed="false">
      <c r="A1524" s="1" t="s">
        <v>309</v>
      </c>
      <c r="B1524" s="1" t="s">
        <v>1221</v>
      </c>
      <c r="C1524" s="1" t="n">
        <v>73</v>
      </c>
      <c r="E1524" s="1" t="s">
        <v>2172</v>
      </c>
      <c r="F1524" s="1" t="s">
        <v>4184</v>
      </c>
      <c r="G1524" s="1" t="s">
        <v>4185</v>
      </c>
      <c r="H1524" s="1" t="s">
        <v>4186</v>
      </c>
      <c r="J1524" s="1" t="s">
        <v>4187</v>
      </c>
      <c r="K1524" s="1" t="n">
        <f aca="false">IF(Search!$D$5="",0,IF(AND(OR(Search!$N$5="",ISNUMBER(SEARCH(Search!$N$5,J1524))),OR(Search!$N$6="",ISNUMBER(SEARCH(Search!$N$6,J1524))),OR(Search!$N$7="",ISNUMBER(SEARCH(Search!$N$7,J1524))),OR(Search!$N$8="",ISNUMBER(SEARCH(Search!$N$8,J1524)))),1,0))</f>
        <v>0</v>
      </c>
      <c r="L1524" s="1" t="n">
        <f aca="false">L1523+K1524</f>
        <v>0</v>
      </c>
    </row>
    <row r="1525" customFormat="false" ht="15" hidden="false" customHeight="true" outlineLevel="0" collapsed="false">
      <c r="A1525" s="1" t="s">
        <v>309</v>
      </c>
      <c r="B1525" s="1" t="s">
        <v>1221</v>
      </c>
      <c r="C1525" s="1" t="n">
        <v>74</v>
      </c>
      <c r="E1525" s="1" t="s">
        <v>1959</v>
      </c>
      <c r="F1525" s="1" t="s">
        <v>4188</v>
      </c>
      <c r="G1525" s="1" t="s">
        <v>4189</v>
      </c>
      <c r="H1525" s="1" t="s">
        <v>4190</v>
      </c>
      <c r="J1525" s="1" t="s">
        <v>4191</v>
      </c>
      <c r="K1525" s="1" t="n">
        <f aca="false">IF(Search!$D$5="",0,IF(AND(OR(Search!$N$5="",ISNUMBER(SEARCH(Search!$N$5,J1525))),OR(Search!$N$6="",ISNUMBER(SEARCH(Search!$N$6,J1525))),OR(Search!$N$7="",ISNUMBER(SEARCH(Search!$N$7,J1525))),OR(Search!$N$8="",ISNUMBER(SEARCH(Search!$N$8,J1525)))),1,0))</f>
        <v>0</v>
      </c>
      <c r="L1525" s="1" t="n">
        <f aca="false">L1524+K1525</f>
        <v>0</v>
      </c>
    </row>
    <row r="1526" customFormat="false" ht="15" hidden="false" customHeight="true" outlineLevel="0" collapsed="false">
      <c r="A1526" s="1" t="s">
        <v>309</v>
      </c>
      <c r="B1526" s="1" t="s">
        <v>1221</v>
      </c>
      <c r="C1526" s="1" t="n">
        <v>75</v>
      </c>
      <c r="E1526" s="1" t="s">
        <v>982</v>
      </c>
      <c r="F1526" s="1" t="s">
        <v>4192</v>
      </c>
      <c r="G1526" s="1" t="s">
        <v>4193</v>
      </c>
      <c r="H1526" s="1" t="s">
        <v>4194</v>
      </c>
      <c r="J1526" s="1" t="s">
        <v>4195</v>
      </c>
      <c r="K1526" s="1" t="n">
        <f aca="false">IF(Search!$D$5="",0,IF(AND(OR(Search!$N$5="",ISNUMBER(SEARCH(Search!$N$5,J1526))),OR(Search!$N$6="",ISNUMBER(SEARCH(Search!$N$6,J1526))),OR(Search!$N$7="",ISNUMBER(SEARCH(Search!$N$7,J1526))),OR(Search!$N$8="",ISNUMBER(SEARCH(Search!$N$8,J1526)))),1,0))</f>
        <v>0</v>
      </c>
      <c r="L1526" s="1" t="n">
        <f aca="false">L1525+K1526</f>
        <v>0</v>
      </c>
    </row>
    <row r="1527" customFormat="false" ht="15" hidden="false" customHeight="true" outlineLevel="0" collapsed="false">
      <c r="A1527" s="1" t="s">
        <v>309</v>
      </c>
      <c r="B1527" s="1" t="s">
        <v>1221</v>
      </c>
      <c r="C1527" s="1" t="n">
        <v>76</v>
      </c>
      <c r="E1527" s="1" t="s">
        <v>2187</v>
      </c>
      <c r="F1527" s="1" t="s">
        <v>4196</v>
      </c>
      <c r="G1527" s="1" t="s">
        <v>4197</v>
      </c>
      <c r="H1527" s="1" t="s">
        <v>4198</v>
      </c>
      <c r="J1527" s="1" t="s">
        <v>4199</v>
      </c>
      <c r="K1527" s="1" t="n">
        <f aca="false">IF(Search!$D$5="",0,IF(AND(OR(Search!$N$5="",ISNUMBER(SEARCH(Search!$N$5,J1527))),OR(Search!$N$6="",ISNUMBER(SEARCH(Search!$N$6,J1527))),OR(Search!$N$7="",ISNUMBER(SEARCH(Search!$N$7,J1527))),OR(Search!$N$8="",ISNUMBER(SEARCH(Search!$N$8,J1527)))),1,0))</f>
        <v>0</v>
      </c>
      <c r="L1527" s="1" t="n">
        <f aca="false">L1526+K1527</f>
        <v>0</v>
      </c>
    </row>
    <row r="1528" customFormat="false" ht="15" hidden="false" customHeight="true" outlineLevel="0" collapsed="false">
      <c r="A1528" s="1" t="s">
        <v>309</v>
      </c>
      <c r="B1528" s="1" t="s">
        <v>1221</v>
      </c>
      <c r="C1528" s="1" t="n">
        <v>77</v>
      </c>
      <c r="E1528" s="1" t="s">
        <v>2620</v>
      </c>
      <c r="F1528" s="1" t="s">
        <v>4200</v>
      </c>
      <c r="G1528" s="1" t="s">
        <v>3781</v>
      </c>
      <c r="H1528" s="1" t="s">
        <v>3782</v>
      </c>
      <c r="J1528" s="1" t="s">
        <v>4201</v>
      </c>
      <c r="K1528" s="1" t="n">
        <f aca="false">IF(Search!$D$5="",0,IF(AND(OR(Search!$N$5="",ISNUMBER(SEARCH(Search!$N$5,J1528))),OR(Search!$N$6="",ISNUMBER(SEARCH(Search!$N$6,J1528))),OR(Search!$N$7="",ISNUMBER(SEARCH(Search!$N$7,J1528))),OR(Search!$N$8="",ISNUMBER(SEARCH(Search!$N$8,J1528)))),1,0))</f>
        <v>0</v>
      </c>
      <c r="L1528" s="1" t="n">
        <f aca="false">L1527+K1528</f>
        <v>0</v>
      </c>
    </row>
    <row r="1529" customFormat="false" ht="15" hidden="false" customHeight="true" outlineLevel="0" collapsed="false">
      <c r="A1529" s="1" t="s">
        <v>309</v>
      </c>
      <c r="B1529" s="1" t="s">
        <v>1221</v>
      </c>
      <c r="C1529" s="1" t="n">
        <v>78</v>
      </c>
      <c r="E1529" s="1" t="s">
        <v>3161</v>
      </c>
      <c r="F1529" s="1" t="s">
        <v>4202</v>
      </c>
      <c r="G1529" s="1" t="s">
        <v>4203</v>
      </c>
      <c r="H1529" s="1" t="s">
        <v>4204</v>
      </c>
      <c r="J1529" s="1" t="s">
        <v>4205</v>
      </c>
      <c r="K1529" s="1" t="n">
        <f aca="false">IF(Search!$D$5="",0,IF(AND(OR(Search!$N$5="",ISNUMBER(SEARCH(Search!$N$5,J1529))),OR(Search!$N$6="",ISNUMBER(SEARCH(Search!$N$6,J1529))),OR(Search!$N$7="",ISNUMBER(SEARCH(Search!$N$7,J1529))),OR(Search!$N$8="",ISNUMBER(SEARCH(Search!$N$8,J1529)))),1,0))</f>
        <v>0</v>
      </c>
      <c r="L1529" s="1" t="n">
        <f aca="false">L1528+K1529</f>
        <v>0</v>
      </c>
    </row>
    <row r="1530" customFormat="false" ht="15" hidden="false" customHeight="true" outlineLevel="0" collapsed="false">
      <c r="A1530" s="1" t="s">
        <v>309</v>
      </c>
      <c r="B1530" s="1" t="s">
        <v>1221</v>
      </c>
      <c r="C1530" s="1" t="n">
        <v>79</v>
      </c>
      <c r="E1530" s="1" t="s">
        <v>492</v>
      </c>
      <c r="F1530" s="1" t="s">
        <v>4206</v>
      </c>
      <c r="G1530" s="1" t="s">
        <v>4207</v>
      </c>
      <c r="H1530" s="1" t="s">
        <v>4208</v>
      </c>
      <c r="J1530" s="1" t="s">
        <v>4209</v>
      </c>
      <c r="K1530" s="1" t="n">
        <f aca="false">IF(Search!$D$5="",0,IF(AND(OR(Search!$N$5="",ISNUMBER(SEARCH(Search!$N$5,J1530))),OR(Search!$N$6="",ISNUMBER(SEARCH(Search!$N$6,J1530))),OR(Search!$N$7="",ISNUMBER(SEARCH(Search!$N$7,J1530))),OR(Search!$N$8="",ISNUMBER(SEARCH(Search!$N$8,J1530)))),1,0))</f>
        <v>0</v>
      </c>
      <c r="L1530" s="1" t="n">
        <f aca="false">L1529+K1530</f>
        <v>0</v>
      </c>
    </row>
    <row r="1531" customFormat="false" ht="15" hidden="false" customHeight="true" outlineLevel="0" collapsed="false">
      <c r="A1531" s="1" t="s">
        <v>309</v>
      </c>
      <c r="B1531" s="1" t="s">
        <v>1221</v>
      </c>
      <c r="C1531" s="1" t="n">
        <v>80</v>
      </c>
      <c r="E1531" s="1" t="s">
        <v>2699</v>
      </c>
      <c r="F1531" s="1" t="s">
        <v>4210</v>
      </c>
      <c r="G1531" s="1" t="s">
        <v>4211</v>
      </c>
      <c r="H1531" s="1" t="s">
        <v>4212</v>
      </c>
      <c r="J1531" s="1" t="s">
        <v>4213</v>
      </c>
      <c r="K1531" s="1" t="n">
        <f aca="false">IF(Search!$D$5="",0,IF(AND(OR(Search!$N$5="",ISNUMBER(SEARCH(Search!$N$5,J1531))),OR(Search!$N$6="",ISNUMBER(SEARCH(Search!$N$6,J1531))),OR(Search!$N$7="",ISNUMBER(SEARCH(Search!$N$7,J1531))),OR(Search!$N$8="",ISNUMBER(SEARCH(Search!$N$8,J1531)))),1,0))</f>
        <v>0</v>
      </c>
      <c r="L1531" s="1" t="n">
        <f aca="false">L1530+K1531</f>
        <v>0</v>
      </c>
    </row>
    <row r="1532" customFormat="false" ht="15" hidden="false" customHeight="true" outlineLevel="0" collapsed="false">
      <c r="A1532" s="1" t="s">
        <v>309</v>
      </c>
      <c r="B1532" s="1" t="s">
        <v>1221</v>
      </c>
      <c r="C1532" s="1" t="n">
        <v>83</v>
      </c>
      <c r="E1532" s="1" t="s">
        <v>2336</v>
      </c>
      <c r="J1532" s="1" t="s">
        <v>2336</v>
      </c>
      <c r="K1532" s="1" t="n">
        <f aca="false">IF(Search!$D$5="",0,IF(AND(OR(Search!$N$5="",ISNUMBER(SEARCH(Search!$N$5,J1532))),OR(Search!$N$6="",ISNUMBER(SEARCH(Search!$N$6,J1532))),OR(Search!$N$7="",ISNUMBER(SEARCH(Search!$N$7,J1532))),OR(Search!$N$8="",ISNUMBER(SEARCH(Search!$N$8,J1532)))),1,0))</f>
        <v>0</v>
      </c>
      <c r="L1532" s="1" t="n">
        <f aca="false">L1531+K1532</f>
        <v>0</v>
      </c>
    </row>
    <row r="1533" customFormat="false" ht="15" hidden="false" customHeight="true" outlineLevel="0" collapsed="false">
      <c r="A1533" s="1" t="s">
        <v>309</v>
      </c>
      <c r="B1533" s="1" t="s">
        <v>1221</v>
      </c>
      <c r="C1533" s="1" t="n">
        <v>84</v>
      </c>
      <c r="E1533" s="1" t="s">
        <v>1279</v>
      </c>
      <c r="J1533" s="1" t="s">
        <v>1279</v>
      </c>
      <c r="K1533" s="1" t="n">
        <f aca="false">IF(Search!$D$5="",0,IF(AND(OR(Search!$N$5="",ISNUMBER(SEARCH(Search!$N$5,J1533))),OR(Search!$N$6="",ISNUMBER(SEARCH(Search!$N$6,J1533))),OR(Search!$N$7="",ISNUMBER(SEARCH(Search!$N$7,J1533))),OR(Search!$N$8="",ISNUMBER(SEARCH(Search!$N$8,J1533)))),1,0))</f>
        <v>0</v>
      </c>
      <c r="L1533" s="1" t="n">
        <f aca="false">L1532+K1533</f>
        <v>0</v>
      </c>
    </row>
    <row r="1534" customFormat="false" ht="16.5" hidden="false" customHeight="true" outlineLevel="0" collapsed="false">
      <c r="A1534" s="1" t="s">
        <v>312</v>
      </c>
      <c r="B1534" s="1" t="s">
        <v>1221</v>
      </c>
      <c r="C1534" s="1" t="n">
        <v>2</v>
      </c>
      <c r="E1534" s="1" t="s">
        <v>4214</v>
      </c>
      <c r="J1534" s="1" t="s">
        <v>4214</v>
      </c>
      <c r="K1534" s="1" t="n">
        <f aca="false">IF(Search!$D$5="",0,IF(AND(OR(Search!$N$5="",ISNUMBER(SEARCH(Search!$N$5,J1534))),OR(Search!$N$6="",ISNUMBER(SEARCH(Search!$N$6,J1534))),OR(Search!$N$7="",ISNUMBER(SEARCH(Search!$N$7,J1534))),OR(Search!$N$8="",ISNUMBER(SEARCH(Search!$N$8,J1534)))),1,0))</f>
        <v>0</v>
      </c>
      <c r="L1534" s="1" t="n">
        <f aca="false">L1533+K1534</f>
        <v>0</v>
      </c>
    </row>
    <row r="1535" customFormat="false" ht="15" hidden="false" customHeight="true" outlineLevel="0" collapsed="false">
      <c r="A1535" s="1" t="s">
        <v>312</v>
      </c>
      <c r="B1535" s="1" t="s">
        <v>1221</v>
      </c>
      <c r="C1535" s="1" t="n">
        <v>3</v>
      </c>
      <c r="E1535" s="1" t="s">
        <v>4215</v>
      </c>
      <c r="J1535" s="1" t="s">
        <v>4215</v>
      </c>
      <c r="K1535" s="1" t="n">
        <f aca="false">IF(Search!$D$5="",0,IF(AND(OR(Search!$N$5="",ISNUMBER(SEARCH(Search!$N$5,J1535))),OR(Search!$N$6="",ISNUMBER(SEARCH(Search!$N$6,J1535))),OR(Search!$N$7="",ISNUMBER(SEARCH(Search!$N$7,J1535))),OR(Search!$N$8="",ISNUMBER(SEARCH(Search!$N$8,J1535)))),1,0))</f>
        <v>0</v>
      </c>
      <c r="L1535" s="1" t="n">
        <f aca="false">L1534+K1535</f>
        <v>0</v>
      </c>
    </row>
    <row r="1536" customFormat="false" ht="15" hidden="false" customHeight="true" outlineLevel="0" collapsed="false">
      <c r="A1536" s="1" t="s">
        <v>312</v>
      </c>
      <c r="B1536" s="1" t="s">
        <v>1221</v>
      </c>
      <c r="C1536" s="1" t="n">
        <v>5</v>
      </c>
      <c r="E1536" s="1" t="s">
        <v>4216</v>
      </c>
      <c r="J1536" s="1" t="s">
        <v>4216</v>
      </c>
      <c r="K1536" s="1" t="n">
        <f aca="false">IF(Search!$D$5="",0,IF(AND(OR(Search!$N$5="",ISNUMBER(SEARCH(Search!$N$5,J1536))),OR(Search!$N$6="",ISNUMBER(SEARCH(Search!$N$6,J1536))),OR(Search!$N$7="",ISNUMBER(SEARCH(Search!$N$7,J1536))),OR(Search!$N$8="",ISNUMBER(SEARCH(Search!$N$8,J1536)))),1,0))</f>
        <v>0</v>
      </c>
      <c r="L1536" s="1" t="n">
        <f aca="false">L1535+K1536</f>
        <v>0</v>
      </c>
    </row>
    <row r="1537" customFormat="false" ht="68.25" hidden="false" customHeight="true" outlineLevel="0" collapsed="false">
      <c r="A1537" s="1" t="s">
        <v>312</v>
      </c>
      <c r="B1537" s="1" t="s">
        <v>1221</v>
      </c>
      <c r="C1537" s="1" t="n">
        <v>6</v>
      </c>
      <c r="E1537" s="1" t="s">
        <v>4217</v>
      </c>
      <c r="F1537" s="46" t="s">
        <v>4218</v>
      </c>
      <c r="G1537" s="46" t="s">
        <v>4219</v>
      </c>
      <c r="H1537" s="46" t="s">
        <v>4220</v>
      </c>
      <c r="I1537" s="46" t="s">
        <v>4221</v>
      </c>
      <c r="J1537" s="46" t="s">
        <v>4222</v>
      </c>
      <c r="K1537" s="1" t="n">
        <f aca="false">IF(Search!$D$5="",0,IF(AND(OR(Search!$N$5="",ISNUMBER(SEARCH(Search!$N$5,J1537))),OR(Search!$N$6="",ISNUMBER(SEARCH(Search!$N$6,J1537))),OR(Search!$N$7="",ISNUMBER(SEARCH(Search!$N$7,J1537))),OR(Search!$N$8="",ISNUMBER(SEARCH(Search!$N$8,J1537)))),1,0))</f>
        <v>0</v>
      </c>
      <c r="L1537" s="1" t="n">
        <f aca="false">L1536+K1537</f>
        <v>0</v>
      </c>
    </row>
    <row r="1538" customFormat="false" ht="15" hidden="false" customHeight="true" outlineLevel="0" collapsed="false">
      <c r="A1538" s="1" t="s">
        <v>312</v>
      </c>
      <c r="B1538" s="1" t="s">
        <v>1221</v>
      </c>
      <c r="C1538" s="1" t="n">
        <v>7</v>
      </c>
      <c r="E1538" s="1" t="s">
        <v>4223</v>
      </c>
      <c r="F1538" s="1" t="s">
        <v>1959</v>
      </c>
      <c r="G1538" s="1" t="s">
        <v>4224</v>
      </c>
      <c r="H1538" s="1" t="s">
        <v>4225</v>
      </c>
      <c r="I1538" s="1" t="s">
        <v>4226</v>
      </c>
      <c r="J1538" s="1" t="s">
        <v>4227</v>
      </c>
      <c r="K1538" s="1" t="n">
        <f aca="false">IF(Search!$D$5="",0,IF(AND(OR(Search!$N$5="",ISNUMBER(SEARCH(Search!$N$5,J1538))),OR(Search!$N$6="",ISNUMBER(SEARCH(Search!$N$6,J1538))),OR(Search!$N$7="",ISNUMBER(SEARCH(Search!$N$7,J1538))),OR(Search!$N$8="",ISNUMBER(SEARCH(Search!$N$8,J1538)))),1,0))</f>
        <v>0</v>
      </c>
      <c r="L1538" s="1" t="n">
        <f aca="false">L1537+K1538</f>
        <v>0</v>
      </c>
    </row>
    <row r="1539" customFormat="false" ht="15" hidden="false" customHeight="true" outlineLevel="0" collapsed="false">
      <c r="A1539" s="1" t="s">
        <v>312</v>
      </c>
      <c r="B1539" s="1" t="s">
        <v>1221</v>
      </c>
      <c r="C1539" s="1" t="n">
        <v>8</v>
      </c>
      <c r="E1539" s="1" t="s">
        <v>4228</v>
      </c>
      <c r="F1539" s="1" t="s">
        <v>577</v>
      </c>
      <c r="G1539" s="1" t="s">
        <v>4229</v>
      </c>
      <c r="H1539" s="1" t="s">
        <v>4230</v>
      </c>
      <c r="I1539" s="1" t="s">
        <v>1795</v>
      </c>
      <c r="J1539" s="1" t="s">
        <v>4231</v>
      </c>
      <c r="K1539" s="1" t="n">
        <f aca="false">IF(Search!$D$5="",0,IF(AND(OR(Search!$N$5="",ISNUMBER(SEARCH(Search!$N$5,J1539))),OR(Search!$N$6="",ISNUMBER(SEARCH(Search!$N$6,J1539))),OR(Search!$N$7="",ISNUMBER(SEARCH(Search!$N$7,J1539))),OR(Search!$N$8="",ISNUMBER(SEARCH(Search!$N$8,J1539)))),1,0))</f>
        <v>0</v>
      </c>
      <c r="L1539" s="1" t="n">
        <f aca="false">L1538+K1539</f>
        <v>0</v>
      </c>
    </row>
    <row r="1540" customFormat="false" ht="15" hidden="false" customHeight="true" outlineLevel="0" collapsed="false">
      <c r="A1540" s="1" t="s">
        <v>312</v>
      </c>
      <c r="B1540" s="1" t="s">
        <v>1221</v>
      </c>
      <c r="C1540" s="1" t="n">
        <v>9</v>
      </c>
      <c r="E1540" s="1" t="s">
        <v>4228</v>
      </c>
      <c r="F1540" s="1" t="s">
        <v>579</v>
      </c>
      <c r="G1540" s="1" t="s">
        <v>4232</v>
      </c>
      <c r="H1540" s="1" t="s">
        <v>4233</v>
      </c>
      <c r="I1540" s="1" t="s">
        <v>4234</v>
      </c>
      <c r="J1540" s="1" t="s">
        <v>4235</v>
      </c>
      <c r="K1540" s="1" t="n">
        <f aca="false">IF(Search!$D$5="",0,IF(AND(OR(Search!$N$5="",ISNUMBER(SEARCH(Search!$N$5,J1540))),OR(Search!$N$6="",ISNUMBER(SEARCH(Search!$N$6,J1540))),OR(Search!$N$7="",ISNUMBER(SEARCH(Search!$N$7,J1540))),OR(Search!$N$8="",ISNUMBER(SEARCH(Search!$N$8,J1540)))),1,0))</f>
        <v>0</v>
      </c>
      <c r="L1540" s="1" t="n">
        <f aca="false">L1539+K1540</f>
        <v>0</v>
      </c>
    </row>
    <row r="1541" customFormat="false" ht="15" hidden="false" customHeight="true" outlineLevel="0" collapsed="false">
      <c r="A1541" s="1" t="s">
        <v>312</v>
      </c>
      <c r="B1541" s="1" t="s">
        <v>1221</v>
      </c>
      <c r="C1541" s="1" t="n">
        <v>10</v>
      </c>
      <c r="E1541" s="1" t="s">
        <v>4236</v>
      </c>
      <c r="F1541" s="1" t="s">
        <v>580</v>
      </c>
      <c r="G1541" s="1" t="s">
        <v>4237</v>
      </c>
      <c r="H1541" s="1" t="s">
        <v>4238</v>
      </c>
      <c r="I1541" s="1" t="s">
        <v>4239</v>
      </c>
      <c r="J1541" s="1" t="s">
        <v>4240</v>
      </c>
      <c r="K1541" s="1" t="n">
        <f aca="false">IF(Search!$D$5="",0,IF(AND(OR(Search!$N$5="",ISNUMBER(SEARCH(Search!$N$5,J1541))),OR(Search!$N$6="",ISNUMBER(SEARCH(Search!$N$6,J1541))),OR(Search!$N$7="",ISNUMBER(SEARCH(Search!$N$7,J1541))),OR(Search!$N$8="",ISNUMBER(SEARCH(Search!$N$8,J1541)))),1,0))</f>
        <v>0</v>
      </c>
      <c r="L1541" s="1" t="n">
        <f aca="false">L1540+K1541</f>
        <v>0</v>
      </c>
    </row>
    <row r="1542" customFormat="false" ht="15" hidden="false" customHeight="true" outlineLevel="0" collapsed="false">
      <c r="A1542" s="1" t="s">
        <v>312</v>
      </c>
      <c r="B1542" s="1" t="s">
        <v>1221</v>
      </c>
      <c r="C1542" s="1" t="n">
        <v>11</v>
      </c>
      <c r="E1542" s="1" t="s">
        <v>4241</v>
      </c>
      <c r="F1542" s="1" t="s">
        <v>2061</v>
      </c>
      <c r="G1542" s="1" t="s">
        <v>4242</v>
      </c>
      <c r="H1542" s="1" t="s">
        <v>4243</v>
      </c>
      <c r="I1542" s="1" t="s">
        <v>4244</v>
      </c>
      <c r="J1542" s="1" t="s">
        <v>4245</v>
      </c>
      <c r="K1542" s="1" t="n">
        <f aca="false">IF(Search!$D$5="",0,IF(AND(OR(Search!$N$5="",ISNUMBER(SEARCH(Search!$N$5,J1542))),OR(Search!$N$6="",ISNUMBER(SEARCH(Search!$N$6,J1542))),OR(Search!$N$7="",ISNUMBER(SEARCH(Search!$N$7,J1542))),OR(Search!$N$8="",ISNUMBER(SEARCH(Search!$N$8,J1542)))),1,0))</f>
        <v>0</v>
      </c>
      <c r="L1542" s="1" t="n">
        <f aca="false">L1541+K1542</f>
        <v>0</v>
      </c>
    </row>
    <row r="1543" customFormat="false" ht="15" hidden="false" customHeight="true" outlineLevel="0" collapsed="false">
      <c r="A1543" s="1" t="s">
        <v>312</v>
      </c>
      <c r="B1543" s="1" t="s">
        <v>1221</v>
      </c>
      <c r="C1543" s="1" t="n">
        <v>12</v>
      </c>
      <c r="E1543" s="1" t="s">
        <v>4241</v>
      </c>
      <c r="F1543" s="1" t="s">
        <v>2115</v>
      </c>
      <c r="G1543" s="1" t="s">
        <v>4246</v>
      </c>
      <c r="H1543" s="1" t="s">
        <v>3508</v>
      </c>
      <c r="I1543" s="1" t="s">
        <v>4247</v>
      </c>
      <c r="J1543" s="1" t="s">
        <v>4248</v>
      </c>
      <c r="K1543" s="1" t="n">
        <f aca="false">IF(Search!$D$5="",0,IF(AND(OR(Search!$N$5="",ISNUMBER(SEARCH(Search!$N$5,J1543))),OR(Search!$N$6="",ISNUMBER(SEARCH(Search!$N$6,J1543))),OR(Search!$N$7="",ISNUMBER(SEARCH(Search!$N$7,J1543))),OR(Search!$N$8="",ISNUMBER(SEARCH(Search!$N$8,J1543)))),1,0))</f>
        <v>0</v>
      </c>
      <c r="L1543" s="1" t="n">
        <f aca="false">L1542+K1543</f>
        <v>0</v>
      </c>
    </row>
    <row r="1544" customFormat="false" ht="15" hidden="false" customHeight="true" outlineLevel="0" collapsed="false">
      <c r="A1544" s="1" t="s">
        <v>312</v>
      </c>
      <c r="B1544" s="1" t="s">
        <v>1221</v>
      </c>
      <c r="C1544" s="1" t="n">
        <v>13</v>
      </c>
      <c r="E1544" s="1" t="s">
        <v>4249</v>
      </c>
      <c r="F1544" s="1" t="s">
        <v>4250</v>
      </c>
      <c r="G1544" s="1" t="s">
        <v>4251</v>
      </c>
      <c r="H1544" s="1" t="s">
        <v>2112</v>
      </c>
      <c r="I1544" s="1" t="s">
        <v>4252</v>
      </c>
      <c r="J1544" s="1" t="s">
        <v>4253</v>
      </c>
      <c r="K1544" s="1" t="n">
        <f aca="false">IF(Search!$D$5="",0,IF(AND(OR(Search!$N$5="",ISNUMBER(SEARCH(Search!$N$5,J1544))),OR(Search!$N$6="",ISNUMBER(SEARCH(Search!$N$6,J1544))),OR(Search!$N$7="",ISNUMBER(SEARCH(Search!$N$7,J1544))),OR(Search!$N$8="",ISNUMBER(SEARCH(Search!$N$8,J1544)))),1,0))</f>
        <v>0</v>
      </c>
      <c r="L1544" s="1" t="n">
        <f aca="false">L1543+K1544</f>
        <v>0</v>
      </c>
    </row>
    <row r="1545" customFormat="false" ht="15" hidden="false" customHeight="true" outlineLevel="0" collapsed="false">
      <c r="A1545" s="1" t="s">
        <v>312</v>
      </c>
      <c r="B1545" s="1" t="s">
        <v>1221</v>
      </c>
      <c r="C1545" s="1" t="n">
        <v>14</v>
      </c>
      <c r="E1545" s="1" t="s">
        <v>4254</v>
      </c>
      <c r="F1545" s="1" t="s">
        <v>4255</v>
      </c>
      <c r="G1545" s="1" t="s">
        <v>4256</v>
      </c>
      <c r="H1545" s="1" t="s">
        <v>2299</v>
      </c>
      <c r="I1545" s="1" t="s">
        <v>4257</v>
      </c>
      <c r="J1545" s="1" t="s">
        <v>4258</v>
      </c>
      <c r="K1545" s="1" t="n">
        <f aca="false">IF(Search!$D$5="",0,IF(AND(OR(Search!$N$5="",ISNUMBER(SEARCH(Search!$N$5,J1545))),OR(Search!$N$6="",ISNUMBER(SEARCH(Search!$N$6,J1545))),OR(Search!$N$7="",ISNUMBER(SEARCH(Search!$N$7,J1545))),OR(Search!$N$8="",ISNUMBER(SEARCH(Search!$N$8,J1545)))),1,0))</f>
        <v>0</v>
      </c>
      <c r="L1545" s="1" t="n">
        <f aca="false">L1544+K1545</f>
        <v>0</v>
      </c>
    </row>
    <row r="1546" customFormat="false" ht="15" hidden="false" customHeight="true" outlineLevel="0" collapsed="false">
      <c r="A1546" s="1" t="s">
        <v>312</v>
      </c>
      <c r="B1546" s="1" t="s">
        <v>1221</v>
      </c>
      <c r="C1546" s="1" t="n">
        <v>15</v>
      </c>
      <c r="E1546" s="1" t="s">
        <v>4254</v>
      </c>
      <c r="F1546" s="1" t="s">
        <v>3798</v>
      </c>
      <c r="G1546" s="1" t="s">
        <v>4259</v>
      </c>
      <c r="H1546" s="1" t="s">
        <v>1607</v>
      </c>
      <c r="I1546" s="1" t="s">
        <v>4260</v>
      </c>
      <c r="J1546" s="1" t="s">
        <v>4261</v>
      </c>
      <c r="K1546" s="1" t="n">
        <f aca="false">IF(Search!$D$5="",0,IF(AND(OR(Search!$N$5="",ISNUMBER(SEARCH(Search!$N$5,J1546))),OR(Search!$N$6="",ISNUMBER(SEARCH(Search!$N$6,J1546))),OR(Search!$N$7="",ISNUMBER(SEARCH(Search!$N$7,J1546))),OR(Search!$N$8="",ISNUMBER(SEARCH(Search!$N$8,J1546)))),1,0))</f>
        <v>0</v>
      </c>
      <c r="L1546" s="1" t="n">
        <f aca="false">L1545+K1546</f>
        <v>0</v>
      </c>
    </row>
    <row r="1547" customFormat="false" ht="15" hidden="false" customHeight="true" outlineLevel="0" collapsed="false">
      <c r="A1547" s="1" t="s">
        <v>312</v>
      </c>
      <c r="B1547" s="1" t="s">
        <v>1221</v>
      </c>
      <c r="C1547" s="1" t="n">
        <v>16</v>
      </c>
      <c r="E1547" s="1" t="s">
        <v>4254</v>
      </c>
      <c r="F1547" s="1" t="s">
        <v>492</v>
      </c>
      <c r="G1547" s="1" t="s">
        <v>4262</v>
      </c>
      <c r="H1547" s="1" t="s">
        <v>2456</v>
      </c>
      <c r="I1547" s="1" t="s">
        <v>4263</v>
      </c>
      <c r="J1547" s="1" t="s">
        <v>4264</v>
      </c>
      <c r="K1547" s="1" t="n">
        <f aca="false">IF(Search!$D$5="",0,IF(AND(OR(Search!$N$5="",ISNUMBER(SEARCH(Search!$N$5,J1547))),OR(Search!$N$6="",ISNUMBER(SEARCH(Search!$N$6,J1547))),OR(Search!$N$7="",ISNUMBER(SEARCH(Search!$N$7,J1547))),OR(Search!$N$8="",ISNUMBER(SEARCH(Search!$N$8,J1547)))),1,0))</f>
        <v>0</v>
      </c>
      <c r="L1547" s="1" t="n">
        <f aca="false">L1546+K1547</f>
        <v>0</v>
      </c>
    </row>
    <row r="1548" customFormat="false" ht="15" hidden="false" customHeight="true" outlineLevel="0" collapsed="false">
      <c r="A1548" s="1" t="s">
        <v>312</v>
      </c>
      <c r="B1548" s="1" t="s">
        <v>1221</v>
      </c>
      <c r="C1548" s="1" t="n">
        <v>17</v>
      </c>
      <c r="E1548" s="1" t="s">
        <v>4254</v>
      </c>
      <c r="F1548" s="1" t="s">
        <v>2187</v>
      </c>
      <c r="G1548" s="1" t="s">
        <v>4265</v>
      </c>
      <c r="H1548" s="1" t="s">
        <v>4266</v>
      </c>
      <c r="I1548" s="1" t="s">
        <v>4267</v>
      </c>
      <c r="J1548" s="1" t="s">
        <v>4268</v>
      </c>
      <c r="K1548" s="1" t="n">
        <f aca="false">IF(Search!$D$5="",0,IF(AND(OR(Search!$N$5="",ISNUMBER(SEARCH(Search!$N$5,J1548))),OR(Search!$N$6="",ISNUMBER(SEARCH(Search!$N$6,J1548))),OR(Search!$N$7="",ISNUMBER(SEARCH(Search!$N$7,J1548))),OR(Search!$N$8="",ISNUMBER(SEARCH(Search!$N$8,J1548)))),1,0))</f>
        <v>0</v>
      </c>
      <c r="L1548" s="1" t="n">
        <f aca="false">L1547+K1548</f>
        <v>0</v>
      </c>
    </row>
    <row r="1549" customFormat="false" ht="15" hidden="false" customHeight="true" outlineLevel="0" collapsed="false">
      <c r="A1549" s="1" t="s">
        <v>312</v>
      </c>
      <c r="B1549" s="1" t="s">
        <v>1221</v>
      </c>
      <c r="C1549" s="1" t="n">
        <v>18</v>
      </c>
      <c r="E1549" s="1" t="s">
        <v>4254</v>
      </c>
      <c r="F1549" s="1" t="s">
        <v>4269</v>
      </c>
      <c r="G1549" s="1" t="s">
        <v>4270</v>
      </c>
      <c r="H1549" s="1" t="s">
        <v>4271</v>
      </c>
      <c r="I1549" s="1" t="s">
        <v>4272</v>
      </c>
      <c r="J1549" s="1" t="s">
        <v>4273</v>
      </c>
      <c r="K1549" s="1" t="n">
        <f aca="false">IF(Search!$D$5="",0,IF(AND(OR(Search!$N$5="",ISNUMBER(SEARCH(Search!$N$5,J1549))),OR(Search!$N$6="",ISNUMBER(SEARCH(Search!$N$6,J1549))),OR(Search!$N$7="",ISNUMBER(SEARCH(Search!$N$7,J1549))),OR(Search!$N$8="",ISNUMBER(SEARCH(Search!$N$8,J1549)))),1,0))</f>
        <v>0</v>
      </c>
      <c r="L1549" s="1" t="n">
        <f aca="false">L1548+K1549</f>
        <v>0</v>
      </c>
    </row>
    <row r="1550" customFormat="false" ht="15" hidden="false" customHeight="true" outlineLevel="0" collapsed="false">
      <c r="A1550" s="1" t="s">
        <v>312</v>
      </c>
      <c r="B1550" s="1" t="s">
        <v>1221</v>
      </c>
      <c r="C1550" s="1" t="n">
        <v>19</v>
      </c>
      <c r="E1550" s="1" t="s">
        <v>4274</v>
      </c>
      <c r="F1550" s="1" t="s">
        <v>2180</v>
      </c>
      <c r="G1550" s="1" t="s">
        <v>4275</v>
      </c>
      <c r="H1550" s="1" t="s">
        <v>4276</v>
      </c>
      <c r="I1550" s="1" t="s">
        <v>4277</v>
      </c>
      <c r="J1550" s="1" t="s">
        <v>4278</v>
      </c>
      <c r="K1550" s="1" t="n">
        <f aca="false">IF(Search!$D$5="",0,IF(AND(OR(Search!$N$5="",ISNUMBER(SEARCH(Search!$N$5,J1550))),OR(Search!$N$6="",ISNUMBER(SEARCH(Search!$N$6,J1550))),OR(Search!$N$7="",ISNUMBER(SEARCH(Search!$N$7,J1550))),OR(Search!$N$8="",ISNUMBER(SEARCH(Search!$N$8,J1550)))),1,0))</f>
        <v>0</v>
      </c>
      <c r="L1550" s="1" t="n">
        <f aca="false">L1549+K1550</f>
        <v>0</v>
      </c>
    </row>
    <row r="1551" customFormat="false" ht="15" hidden="false" customHeight="true" outlineLevel="0" collapsed="false">
      <c r="A1551" s="1" t="s">
        <v>312</v>
      </c>
      <c r="B1551" s="1" t="s">
        <v>1221</v>
      </c>
      <c r="C1551" s="1" t="n">
        <v>20</v>
      </c>
      <c r="E1551" s="1" t="s">
        <v>4279</v>
      </c>
      <c r="F1551" s="1" t="s">
        <v>583</v>
      </c>
      <c r="G1551" s="1" t="s">
        <v>4280</v>
      </c>
      <c r="H1551" s="1" t="s">
        <v>1329</v>
      </c>
      <c r="I1551" s="1" t="s">
        <v>4281</v>
      </c>
      <c r="J1551" s="1" t="s">
        <v>4282</v>
      </c>
      <c r="K1551" s="1" t="n">
        <f aca="false">IF(Search!$D$5="",0,IF(AND(OR(Search!$N$5="",ISNUMBER(SEARCH(Search!$N$5,J1551))),OR(Search!$N$6="",ISNUMBER(SEARCH(Search!$N$6,J1551))),OR(Search!$N$7="",ISNUMBER(SEARCH(Search!$N$7,J1551))),OR(Search!$N$8="",ISNUMBER(SEARCH(Search!$N$8,J1551)))),1,0))</f>
        <v>0</v>
      </c>
      <c r="L1551" s="1" t="n">
        <f aca="false">L1550+K1551</f>
        <v>0</v>
      </c>
    </row>
    <row r="1552" customFormat="false" ht="16.5" hidden="false" customHeight="true" outlineLevel="0" collapsed="false">
      <c r="A1552" s="1" t="s">
        <v>312</v>
      </c>
      <c r="B1552" s="1" t="s">
        <v>1221</v>
      </c>
      <c r="C1552" s="1" t="n">
        <v>23</v>
      </c>
      <c r="E1552" s="1" t="s">
        <v>4283</v>
      </c>
      <c r="J1552" s="1" t="s">
        <v>4283</v>
      </c>
      <c r="K1552" s="1" t="n">
        <f aca="false">IF(Search!$D$5="",0,IF(AND(OR(Search!$N$5="",ISNUMBER(SEARCH(Search!$N$5,J1552))),OR(Search!$N$6="",ISNUMBER(SEARCH(Search!$N$6,J1552))),OR(Search!$N$7="",ISNUMBER(SEARCH(Search!$N$7,J1552))),OR(Search!$N$8="",ISNUMBER(SEARCH(Search!$N$8,J1552)))),1,0))</f>
        <v>0</v>
      </c>
      <c r="L1552" s="1" t="n">
        <f aca="false">L1551+K1552</f>
        <v>0</v>
      </c>
    </row>
    <row r="1553" customFormat="false" ht="15" hidden="false" customHeight="true" outlineLevel="0" collapsed="false">
      <c r="A1553" s="1" t="s">
        <v>312</v>
      </c>
      <c r="B1553" s="1" t="s">
        <v>1221</v>
      </c>
      <c r="C1553" s="1" t="n">
        <v>24</v>
      </c>
      <c r="E1553" s="1" t="s">
        <v>4284</v>
      </c>
      <c r="F1553" s="1" t="s">
        <v>4285</v>
      </c>
      <c r="G1553" s="1" t="s">
        <v>4286</v>
      </c>
      <c r="J1553" s="1" t="s">
        <v>4287</v>
      </c>
      <c r="K1553" s="1" t="n">
        <f aca="false">IF(Search!$D$5="",0,IF(AND(OR(Search!$N$5="",ISNUMBER(SEARCH(Search!$N$5,J1553))),OR(Search!$N$6="",ISNUMBER(SEARCH(Search!$N$6,J1553))),OR(Search!$N$7="",ISNUMBER(SEARCH(Search!$N$7,J1553))),OR(Search!$N$8="",ISNUMBER(SEARCH(Search!$N$8,J1553)))),1,0))</f>
        <v>0</v>
      </c>
      <c r="L1553" s="1" t="n">
        <f aca="false">L1552+K1553</f>
        <v>0</v>
      </c>
    </row>
    <row r="1554" customFormat="false" ht="15" hidden="false" customHeight="true" outlineLevel="0" collapsed="false">
      <c r="A1554" s="1" t="s">
        <v>312</v>
      </c>
      <c r="B1554" s="1" t="s">
        <v>1221</v>
      </c>
      <c r="C1554" s="1" t="n">
        <v>25</v>
      </c>
      <c r="E1554" s="1" t="s">
        <v>4288</v>
      </c>
      <c r="F1554" s="1" t="s">
        <v>4289</v>
      </c>
      <c r="G1554" s="1" t="s">
        <v>4290</v>
      </c>
      <c r="J1554" s="1" t="s">
        <v>4291</v>
      </c>
      <c r="K1554" s="1" t="n">
        <f aca="false">IF(Search!$D$5="",0,IF(AND(OR(Search!$N$5="",ISNUMBER(SEARCH(Search!$N$5,J1554))),OR(Search!$N$6="",ISNUMBER(SEARCH(Search!$N$6,J1554))),OR(Search!$N$7="",ISNUMBER(SEARCH(Search!$N$7,J1554))),OR(Search!$N$8="",ISNUMBER(SEARCH(Search!$N$8,J1554)))),1,0))</f>
        <v>0</v>
      </c>
      <c r="L1554" s="1" t="n">
        <f aca="false">L1553+K1554</f>
        <v>0</v>
      </c>
    </row>
    <row r="1555" customFormat="false" ht="15" hidden="false" customHeight="true" outlineLevel="0" collapsed="false">
      <c r="A1555" s="1" t="s">
        <v>312</v>
      </c>
      <c r="B1555" s="1" t="s">
        <v>1221</v>
      </c>
      <c r="C1555" s="1" t="n">
        <v>26</v>
      </c>
      <c r="E1555" s="1" t="s">
        <v>4288</v>
      </c>
      <c r="F1555" s="1" t="s">
        <v>3904</v>
      </c>
      <c r="G1555" s="1" t="s">
        <v>4292</v>
      </c>
      <c r="J1555" s="1" t="s">
        <v>4293</v>
      </c>
      <c r="K1555" s="1" t="n">
        <f aca="false">IF(Search!$D$5="",0,IF(AND(OR(Search!$N$5="",ISNUMBER(SEARCH(Search!$N$5,J1555))),OR(Search!$N$6="",ISNUMBER(SEARCH(Search!$N$6,J1555))),OR(Search!$N$7="",ISNUMBER(SEARCH(Search!$N$7,J1555))),OR(Search!$N$8="",ISNUMBER(SEARCH(Search!$N$8,J1555)))),1,0))</f>
        <v>0</v>
      </c>
      <c r="L1555" s="1" t="n">
        <f aca="false">L1554+K1555</f>
        <v>0</v>
      </c>
    </row>
    <row r="1556" customFormat="false" ht="15" hidden="false" customHeight="true" outlineLevel="0" collapsed="false">
      <c r="A1556" s="1" t="s">
        <v>312</v>
      </c>
      <c r="B1556" s="1" t="s">
        <v>1221</v>
      </c>
      <c r="C1556" s="1" t="n">
        <v>27</v>
      </c>
      <c r="E1556" s="1" t="s">
        <v>4294</v>
      </c>
      <c r="F1556" s="1" t="s">
        <v>4289</v>
      </c>
      <c r="G1556" s="1" t="s">
        <v>4295</v>
      </c>
      <c r="J1556" s="1" t="s">
        <v>4296</v>
      </c>
      <c r="K1556" s="1" t="n">
        <f aca="false">IF(Search!$D$5="",0,IF(AND(OR(Search!$N$5="",ISNUMBER(SEARCH(Search!$N$5,J1556))),OR(Search!$N$6="",ISNUMBER(SEARCH(Search!$N$6,J1556))),OR(Search!$N$7="",ISNUMBER(SEARCH(Search!$N$7,J1556))),OR(Search!$N$8="",ISNUMBER(SEARCH(Search!$N$8,J1556)))),1,0))</f>
        <v>0</v>
      </c>
      <c r="L1556" s="1" t="n">
        <f aca="false">L1555+K1556</f>
        <v>0</v>
      </c>
    </row>
    <row r="1557" customFormat="false" ht="15" hidden="false" customHeight="true" outlineLevel="0" collapsed="false">
      <c r="A1557" s="1" t="s">
        <v>312</v>
      </c>
      <c r="B1557" s="1" t="s">
        <v>1221</v>
      </c>
      <c r="C1557" s="1" t="n">
        <v>28</v>
      </c>
      <c r="E1557" s="1" t="s">
        <v>4294</v>
      </c>
      <c r="F1557" s="1" t="s">
        <v>3904</v>
      </c>
      <c r="G1557" s="1" t="s">
        <v>4297</v>
      </c>
      <c r="J1557" s="1" t="s">
        <v>4298</v>
      </c>
      <c r="K1557" s="1" t="n">
        <f aca="false">IF(Search!$D$5="",0,IF(AND(OR(Search!$N$5="",ISNUMBER(SEARCH(Search!$N$5,J1557))),OR(Search!$N$6="",ISNUMBER(SEARCH(Search!$N$6,J1557))),OR(Search!$N$7="",ISNUMBER(SEARCH(Search!$N$7,J1557))),OR(Search!$N$8="",ISNUMBER(SEARCH(Search!$N$8,J1557)))),1,0))</f>
        <v>0</v>
      </c>
      <c r="L1557" s="1" t="n">
        <f aca="false">L1556+K1557</f>
        <v>0</v>
      </c>
    </row>
    <row r="1558" customFormat="false" ht="15" hidden="false" customHeight="true" outlineLevel="0" collapsed="false">
      <c r="A1558" s="1" t="s">
        <v>312</v>
      </c>
      <c r="B1558" s="1" t="s">
        <v>1221</v>
      </c>
      <c r="C1558" s="1" t="n">
        <v>29</v>
      </c>
      <c r="E1558" s="1" t="s">
        <v>4299</v>
      </c>
      <c r="F1558" s="1" t="s">
        <v>4300</v>
      </c>
      <c r="G1558" s="1" t="s">
        <v>4301</v>
      </c>
      <c r="J1558" s="1" t="s">
        <v>4302</v>
      </c>
      <c r="K1558" s="1" t="n">
        <f aca="false">IF(Search!$D$5="",0,IF(AND(OR(Search!$N$5="",ISNUMBER(SEARCH(Search!$N$5,J1558))),OR(Search!$N$6="",ISNUMBER(SEARCH(Search!$N$6,J1558))),OR(Search!$N$7="",ISNUMBER(SEARCH(Search!$N$7,J1558))),OR(Search!$N$8="",ISNUMBER(SEARCH(Search!$N$8,J1558)))),1,0))</f>
        <v>0</v>
      </c>
      <c r="L1558" s="1" t="n">
        <f aca="false">L1557+K1558</f>
        <v>0</v>
      </c>
    </row>
    <row r="1559" customFormat="false" ht="15" hidden="false" customHeight="true" outlineLevel="0" collapsed="false">
      <c r="A1559" s="1" t="s">
        <v>312</v>
      </c>
      <c r="B1559" s="1" t="s">
        <v>1221</v>
      </c>
      <c r="C1559" s="1" t="n">
        <v>30</v>
      </c>
      <c r="E1559" s="1" t="s">
        <v>4303</v>
      </c>
      <c r="F1559" s="1" t="s">
        <v>3914</v>
      </c>
      <c r="G1559" s="1" t="s">
        <v>4304</v>
      </c>
      <c r="J1559" s="1" t="s">
        <v>4305</v>
      </c>
      <c r="K1559" s="1" t="n">
        <f aca="false">IF(Search!$D$5="",0,IF(AND(OR(Search!$N$5="",ISNUMBER(SEARCH(Search!$N$5,J1559))),OR(Search!$N$6="",ISNUMBER(SEARCH(Search!$N$6,J1559))),OR(Search!$N$7="",ISNUMBER(SEARCH(Search!$N$7,J1559))),OR(Search!$N$8="",ISNUMBER(SEARCH(Search!$N$8,J1559)))),1,0))</f>
        <v>0</v>
      </c>
      <c r="L1559" s="1" t="n">
        <f aca="false">L1558+K1559</f>
        <v>0</v>
      </c>
    </row>
    <row r="1560" customFormat="false" ht="15" hidden="false" customHeight="true" outlineLevel="0" collapsed="false">
      <c r="A1560" s="1" t="s">
        <v>312</v>
      </c>
      <c r="B1560" s="1" t="s">
        <v>1221</v>
      </c>
      <c r="C1560" s="1" t="n">
        <v>31</v>
      </c>
      <c r="E1560" s="1" t="s">
        <v>4303</v>
      </c>
      <c r="F1560" s="1" t="s">
        <v>4300</v>
      </c>
      <c r="G1560" s="1" t="s">
        <v>4306</v>
      </c>
      <c r="J1560" s="1" t="s">
        <v>4307</v>
      </c>
      <c r="K1560" s="1" t="n">
        <f aca="false">IF(Search!$D$5="",0,IF(AND(OR(Search!$N$5="",ISNUMBER(SEARCH(Search!$N$5,J1560))),OR(Search!$N$6="",ISNUMBER(SEARCH(Search!$N$6,J1560))),OR(Search!$N$7="",ISNUMBER(SEARCH(Search!$N$7,J1560))),OR(Search!$N$8="",ISNUMBER(SEARCH(Search!$N$8,J1560)))),1,0))</f>
        <v>0</v>
      </c>
      <c r="L1560" s="1" t="n">
        <f aca="false">L1559+K1560</f>
        <v>0</v>
      </c>
    </row>
    <row r="1561" customFormat="false" ht="15" hidden="false" customHeight="true" outlineLevel="0" collapsed="false">
      <c r="A1561" s="1" t="s">
        <v>312</v>
      </c>
      <c r="B1561" s="1" t="s">
        <v>1221</v>
      </c>
      <c r="C1561" s="1" t="n">
        <v>32</v>
      </c>
      <c r="E1561" s="1" t="s">
        <v>4303</v>
      </c>
      <c r="F1561" s="1" t="s">
        <v>3914</v>
      </c>
      <c r="G1561" s="1" t="s">
        <v>4308</v>
      </c>
      <c r="J1561" s="1" t="s">
        <v>4309</v>
      </c>
      <c r="K1561" s="1" t="n">
        <f aca="false">IF(Search!$D$5="",0,IF(AND(OR(Search!$N$5="",ISNUMBER(SEARCH(Search!$N$5,J1561))),OR(Search!$N$6="",ISNUMBER(SEARCH(Search!$N$6,J1561))),OR(Search!$N$7="",ISNUMBER(SEARCH(Search!$N$7,J1561))),OR(Search!$N$8="",ISNUMBER(SEARCH(Search!$N$8,J1561)))),1,0))</f>
        <v>0</v>
      </c>
      <c r="L1561" s="1" t="n">
        <f aca="false">L1560+K1561</f>
        <v>0</v>
      </c>
    </row>
    <row r="1562" customFormat="false" ht="15" hidden="false" customHeight="true" outlineLevel="0" collapsed="false">
      <c r="A1562" s="1" t="s">
        <v>312</v>
      </c>
      <c r="B1562" s="1" t="s">
        <v>1221</v>
      </c>
      <c r="C1562" s="1" t="n">
        <v>33</v>
      </c>
      <c r="E1562" s="1" t="s">
        <v>4303</v>
      </c>
      <c r="F1562" s="1" t="s">
        <v>3918</v>
      </c>
      <c r="G1562" s="1" t="s">
        <v>4310</v>
      </c>
      <c r="J1562" s="1" t="s">
        <v>4311</v>
      </c>
      <c r="K1562" s="1" t="n">
        <f aca="false">IF(Search!$D$5="",0,IF(AND(OR(Search!$N$5="",ISNUMBER(SEARCH(Search!$N$5,J1562))),OR(Search!$N$6="",ISNUMBER(SEARCH(Search!$N$6,J1562))),OR(Search!$N$7="",ISNUMBER(SEARCH(Search!$N$7,J1562))),OR(Search!$N$8="",ISNUMBER(SEARCH(Search!$N$8,J1562)))),1,0))</f>
        <v>0</v>
      </c>
      <c r="L1562" s="1" t="n">
        <f aca="false">L1561+K1562</f>
        <v>0</v>
      </c>
    </row>
    <row r="1563" customFormat="false" ht="15" hidden="false" customHeight="true" outlineLevel="0" collapsed="false">
      <c r="A1563" s="1" t="s">
        <v>312</v>
      </c>
      <c r="B1563" s="1" t="s">
        <v>1221</v>
      </c>
      <c r="C1563" s="1" t="n">
        <v>34</v>
      </c>
      <c r="E1563" s="1" t="s">
        <v>4312</v>
      </c>
      <c r="F1563" s="1" t="s">
        <v>4300</v>
      </c>
      <c r="G1563" s="1" t="s">
        <v>4313</v>
      </c>
      <c r="J1563" s="1" t="s">
        <v>4314</v>
      </c>
      <c r="K1563" s="1" t="n">
        <f aca="false">IF(Search!$D$5="",0,IF(AND(OR(Search!$N$5="",ISNUMBER(SEARCH(Search!$N$5,J1563))),OR(Search!$N$6="",ISNUMBER(SEARCH(Search!$N$6,J1563))),OR(Search!$N$7="",ISNUMBER(SEARCH(Search!$N$7,J1563))),OR(Search!$N$8="",ISNUMBER(SEARCH(Search!$N$8,J1563)))),1,0))</f>
        <v>0</v>
      </c>
      <c r="L1563" s="1" t="n">
        <f aca="false">L1562+K1563</f>
        <v>0</v>
      </c>
    </row>
    <row r="1564" customFormat="false" ht="15" hidden="false" customHeight="true" outlineLevel="0" collapsed="false">
      <c r="A1564" s="1" t="s">
        <v>312</v>
      </c>
      <c r="B1564" s="1" t="s">
        <v>1221</v>
      </c>
      <c r="C1564" s="1" t="n">
        <v>35</v>
      </c>
      <c r="E1564" s="1" t="s">
        <v>4312</v>
      </c>
      <c r="F1564" s="1" t="s">
        <v>3914</v>
      </c>
      <c r="G1564" s="1" t="s">
        <v>4315</v>
      </c>
      <c r="J1564" s="1" t="s">
        <v>4316</v>
      </c>
      <c r="K1564" s="1" t="n">
        <f aca="false">IF(Search!$D$5="",0,IF(AND(OR(Search!$N$5="",ISNUMBER(SEARCH(Search!$N$5,J1564))),OR(Search!$N$6="",ISNUMBER(SEARCH(Search!$N$6,J1564))),OR(Search!$N$7="",ISNUMBER(SEARCH(Search!$N$7,J1564))),OR(Search!$N$8="",ISNUMBER(SEARCH(Search!$N$8,J1564)))),1,0))</f>
        <v>0</v>
      </c>
      <c r="L1564" s="1" t="n">
        <f aca="false">L1563+K1564</f>
        <v>0</v>
      </c>
    </row>
    <row r="1565" customFormat="false" ht="15" hidden="false" customHeight="true" outlineLevel="0" collapsed="false">
      <c r="A1565" s="1" t="s">
        <v>312</v>
      </c>
      <c r="B1565" s="1" t="s">
        <v>1221</v>
      </c>
      <c r="C1565" s="1" t="n">
        <v>36</v>
      </c>
      <c r="E1565" s="1" t="s">
        <v>4312</v>
      </c>
      <c r="F1565" s="1" t="s">
        <v>3918</v>
      </c>
      <c r="G1565" s="1" t="s">
        <v>4317</v>
      </c>
      <c r="J1565" s="1" t="s">
        <v>4318</v>
      </c>
      <c r="K1565" s="1" t="n">
        <f aca="false">IF(Search!$D$5="",0,IF(AND(OR(Search!$N$5="",ISNUMBER(SEARCH(Search!$N$5,J1565))),OR(Search!$N$6="",ISNUMBER(SEARCH(Search!$N$6,J1565))),OR(Search!$N$7="",ISNUMBER(SEARCH(Search!$N$7,J1565))),OR(Search!$N$8="",ISNUMBER(SEARCH(Search!$N$8,J1565)))),1,0))</f>
        <v>0</v>
      </c>
      <c r="L1565" s="1" t="n">
        <f aca="false">L1564+K1565</f>
        <v>0</v>
      </c>
    </row>
    <row r="1566" customFormat="false" ht="15" hidden="false" customHeight="true" outlineLevel="0" collapsed="false">
      <c r="A1566" s="1" t="s">
        <v>312</v>
      </c>
      <c r="B1566" s="1" t="s">
        <v>1221</v>
      </c>
      <c r="C1566" s="1" t="n">
        <v>37</v>
      </c>
      <c r="E1566" s="1" t="s">
        <v>4319</v>
      </c>
      <c r="F1566" s="1" t="s">
        <v>3918</v>
      </c>
      <c r="G1566" s="1" t="s">
        <v>4320</v>
      </c>
      <c r="J1566" s="1" t="s">
        <v>4321</v>
      </c>
      <c r="K1566" s="1" t="n">
        <f aca="false">IF(Search!$D$5="",0,IF(AND(OR(Search!$N$5="",ISNUMBER(SEARCH(Search!$N$5,J1566))),OR(Search!$N$6="",ISNUMBER(SEARCH(Search!$N$6,J1566))),OR(Search!$N$7="",ISNUMBER(SEARCH(Search!$N$7,J1566))),OR(Search!$N$8="",ISNUMBER(SEARCH(Search!$N$8,J1566)))),1,0))</f>
        <v>0</v>
      </c>
      <c r="L1566" s="1" t="n">
        <f aca="false">L1565+K1566</f>
        <v>0</v>
      </c>
    </row>
    <row r="1567" customFormat="false" ht="15" hidden="false" customHeight="true" outlineLevel="0" collapsed="false">
      <c r="A1567" s="1" t="s">
        <v>312</v>
      </c>
      <c r="B1567" s="1" t="s">
        <v>1221</v>
      </c>
      <c r="C1567" s="1" t="n">
        <v>38</v>
      </c>
      <c r="E1567" s="1" t="s">
        <v>4322</v>
      </c>
      <c r="F1567" s="1" t="s">
        <v>3918</v>
      </c>
      <c r="G1567" s="1" t="s">
        <v>4323</v>
      </c>
      <c r="J1567" s="1" t="s">
        <v>4324</v>
      </c>
      <c r="K1567" s="1" t="n">
        <f aca="false">IF(Search!$D$5="",0,IF(AND(OR(Search!$N$5="",ISNUMBER(SEARCH(Search!$N$5,J1567))),OR(Search!$N$6="",ISNUMBER(SEARCH(Search!$N$6,J1567))),OR(Search!$N$7="",ISNUMBER(SEARCH(Search!$N$7,J1567))),OR(Search!$N$8="",ISNUMBER(SEARCH(Search!$N$8,J1567)))),1,0))</f>
        <v>0</v>
      </c>
      <c r="L1567" s="1" t="n">
        <f aca="false">L1566+K1567</f>
        <v>0</v>
      </c>
    </row>
    <row r="1568" customFormat="false" ht="15" hidden="false" customHeight="true" outlineLevel="0" collapsed="false">
      <c r="A1568" s="1" t="s">
        <v>312</v>
      </c>
      <c r="B1568" s="1" t="s">
        <v>1221</v>
      </c>
      <c r="C1568" s="1" t="n">
        <v>39</v>
      </c>
      <c r="E1568" s="1" t="s">
        <v>4322</v>
      </c>
      <c r="F1568" s="1" t="s">
        <v>2679</v>
      </c>
      <c r="G1568" s="1" t="s">
        <v>4325</v>
      </c>
      <c r="J1568" s="1" t="s">
        <v>4326</v>
      </c>
      <c r="K1568" s="1" t="n">
        <f aca="false">IF(Search!$D$5="",0,IF(AND(OR(Search!$N$5="",ISNUMBER(SEARCH(Search!$N$5,J1568))),OR(Search!$N$6="",ISNUMBER(SEARCH(Search!$N$6,J1568))),OR(Search!$N$7="",ISNUMBER(SEARCH(Search!$N$7,J1568))),OR(Search!$N$8="",ISNUMBER(SEARCH(Search!$N$8,J1568)))),1,0))</f>
        <v>0</v>
      </c>
      <c r="L1568" s="1" t="n">
        <f aca="false">L1567+K1568</f>
        <v>0</v>
      </c>
    </row>
    <row r="1569" customFormat="false" ht="15" hidden="false" customHeight="true" outlineLevel="0" collapsed="false">
      <c r="A1569" s="1" t="s">
        <v>312</v>
      </c>
      <c r="B1569" s="1" t="s">
        <v>1221</v>
      </c>
      <c r="C1569" s="1" t="n">
        <v>42</v>
      </c>
      <c r="E1569" s="1" t="s">
        <v>4327</v>
      </c>
      <c r="J1569" s="1" t="s">
        <v>4327</v>
      </c>
      <c r="K1569" s="1" t="n">
        <f aca="false">IF(Search!$D$5="",0,IF(AND(OR(Search!$N$5="",ISNUMBER(SEARCH(Search!$N$5,J1569))),OR(Search!$N$6="",ISNUMBER(SEARCH(Search!$N$6,J1569))),OR(Search!$N$7="",ISNUMBER(SEARCH(Search!$N$7,J1569))),OR(Search!$N$8="",ISNUMBER(SEARCH(Search!$N$8,J1569)))),1,0))</f>
        <v>0</v>
      </c>
      <c r="L1569" s="1" t="n">
        <f aca="false">L1568+K1569</f>
        <v>0</v>
      </c>
    </row>
    <row r="1570" customFormat="false" ht="15" hidden="false" customHeight="true" outlineLevel="0" collapsed="false">
      <c r="A1570" s="1" t="s">
        <v>312</v>
      </c>
      <c r="B1570" s="1" t="s">
        <v>1221</v>
      </c>
      <c r="C1570" s="1" t="n">
        <v>43</v>
      </c>
      <c r="E1570" s="1" t="s">
        <v>1279</v>
      </c>
      <c r="J1570" s="1" t="s">
        <v>1279</v>
      </c>
      <c r="K1570" s="1" t="n">
        <f aca="false">IF(Search!$D$5="",0,IF(AND(OR(Search!$N$5="",ISNUMBER(SEARCH(Search!$N$5,J1570))),OR(Search!$N$6="",ISNUMBER(SEARCH(Search!$N$6,J1570))),OR(Search!$N$7="",ISNUMBER(SEARCH(Search!$N$7,J1570))),OR(Search!$N$8="",ISNUMBER(SEARCH(Search!$N$8,J1570)))),1,0))</f>
        <v>0</v>
      </c>
      <c r="L1570" s="1" t="n">
        <f aca="false">L1569+K1570</f>
        <v>0</v>
      </c>
    </row>
    <row r="1571" customFormat="false" ht="16.5" hidden="false" customHeight="true" outlineLevel="0" collapsed="false">
      <c r="A1571" s="1" t="s">
        <v>315</v>
      </c>
      <c r="B1571" s="1" t="s">
        <v>1221</v>
      </c>
      <c r="C1571" s="1" t="n">
        <v>2</v>
      </c>
      <c r="E1571" s="1" t="s">
        <v>4328</v>
      </c>
      <c r="J1571" s="1" t="s">
        <v>4328</v>
      </c>
      <c r="K1571" s="1" t="n">
        <f aca="false">IF(Search!$D$5="",0,IF(AND(OR(Search!$N$5="",ISNUMBER(SEARCH(Search!$N$5,J1571))),OR(Search!$N$6="",ISNUMBER(SEARCH(Search!$N$6,J1571))),OR(Search!$N$7="",ISNUMBER(SEARCH(Search!$N$7,J1571))),OR(Search!$N$8="",ISNUMBER(SEARCH(Search!$N$8,J1571)))),1,0))</f>
        <v>0</v>
      </c>
      <c r="L1571" s="1" t="n">
        <f aca="false">L1570+K1571</f>
        <v>0</v>
      </c>
    </row>
    <row r="1572" customFormat="false" ht="15" hidden="false" customHeight="true" outlineLevel="0" collapsed="false">
      <c r="A1572" s="1" t="s">
        <v>315</v>
      </c>
      <c r="B1572" s="1" t="s">
        <v>1221</v>
      </c>
      <c r="C1572" s="1" t="n">
        <v>3</v>
      </c>
      <c r="E1572" s="1" t="s">
        <v>4329</v>
      </c>
      <c r="J1572" s="1" t="s">
        <v>4329</v>
      </c>
      <c r="K1572" s="1" t="n">
        <f aca="false">IF(Search!$D$5="",0,IF(AND(OR(Search!$N$5="",ISNUMBER(SEARCH(Search!$N$5,J1572))),OR(Search!$N$6="",ISNUMBER(SEARCH(Search!$N$6,J1572))),OR(Search!$N$7="",ISNUMBER(SEARCH(Search!$N$7,J1572))),OR(Search!$N$8="",ISNUMBER(SEARCH(Search!$N$8,J1572)))),1,0))</f>
        <v>0</v>
      </c>
      <c r="L1572" s="1" t="n">
        <f aca="false">L1571+K1572</f>
        <v>0</v>
      </c>
    </row>
    <row r="1573" customFormat="false" ht="15" hidden="false" customHeight="true" outlineLevel="0" collapsed="false">
      <c r="A1573" s="1" t="s">
        <v>315</v>
      </c>
      <c r="B1573" s="1" t="s">
        <v>1221</v>
      </c>
      <c r="C1573" s="1" t="n">
        <v>5</v>
      </c>
      <c r="E1573" s="1" t="s">
        <v>4330</v>
      </c>
      <c r="J1573" s="1" t="s">
        <v>4330</v>
      </c>
      <c r="K1573" s="1" t="n">
        <f aca="false">IF(Search!$D$5="",0,IF(AND(OR(Search!$N$5="",ISNUMBER(SEARCH(Search!$N$5,J1573))),OR(Search!$N$6="",ISNUMBER(SEARCH(Search!$N$6,J1573))),OR(Search!$N$7="",ISNUMBER(SEARCH(Search!$N$7,J1573))),OR(Search!$N$8="",ISNUMBER(SEARCH(Search!$N$8,J1573)))),1,0))</f>
        <v>0</v>
      </c>
      <c r="L1573" s="1" t="n">
        <f aca="false">L1572+K1573</f>
        <v>0</v>
      </c>
    </row>
    <row r="1574" customFormat="false" ht="81.75" hidden="false" customHeight="true" outlineLevel="0" collapsed="false">
      <c r="A1574" s="1" t="s">
        <v>315</v>
      </c>
      <c r="B1574" s="1" t="s">
        <v>1221</v>
      </c>
      <c r="C1574" s="1" t="n">
        <v>6</v>
      </c>
      <c r="E1574" s="46" t="s">
        <v>4331</v>
      </c>
      <c r="F1574" s="46" t="s">
        <v>4332</v>
      </c>
      <c r="G1574" s="46" t="s">
        <v>4333</v>
      </c>
      <c r="H1574" s="46" t="s">
        <v>4334</v>
      </c>
      <c r="I1574" s="46" t="s">
        <v>4335</v>
      </c>
      <c r="J1574" s="46" t="s">
        <v>4336</v>
      </c>
      <c r="K1574" s="1" t="n">
        <f aca="false">IF(Search!$D$5="",0,IF(AND(OR(Search!$N$5="",ISNUMBER(SEARCH(Search!$N$5,J1574))),OR(Search!$N$6="",ISNUMBER(SEARCH(Search!$N$6,J1574))),OR(Search!$N$7="",ISNUMBER(SEARCH(Search!$N$7,J1574))),OR(Search!$N$8="",ISNUMBER(SEARCH(Search!$N$8,J1574)))),1,0))</f>
        <v>0</v>
      </c>
      <c r="L1574" s="1" t="n">
        <f aca="false">L1573+K1574</f>
        <v>0</v>
      </c>
    </row>
    <row r="1575" customFormat="false" ht="15" hidden="false" customHeight="true" outlineLevel="0" collapsed="false">
      <c r="A1575" s="1" t="s">
        <v>315</v>
      </c>
      <c r="B1575" s="1" t="s">
        <v>1221</v>
      </c>
      <c r="C1575" s="1" t="n">
        <v>7</v>
      </c>
      <c r="E1575" s="1" t="s">
        <v>624</v>
      </c>
      <c r="F1575" s="1" t="s">
        <v>4337</v>
      </c>
      <c r="G1575" s="1" t="s">
        <v>4338</v>
      </c>
      <c r="H1575" s="1" t="s">
        <v>4339</v>
      </c>
      <c r="I1575" s="1" t="s">
        <v>4340</v>
      </c>
      <c r="J1575" s="1" t="s">
        <v>4341</v>
      </c>
      <c r="K1575" s="1" t="n">
        <f aca="false">IF(Search!$D$5="",0,IF(AND(OR(Search!$N$5="",ISNUMBER(SEARCH(Search!$N$5,J1575))),OR(Search!$N$6="",ISNUMBER(SEARCH(Search!$N$6,J1575))),OR(Search!$N$7="",ISNUMBER(SEARCH(Search!$N$7,J1575))),OR(Search!$N$8="",ISNUMBER(SEARCH(Search!$N$8,J1575)))),1,0))</f>
        <v>0</v>
      </c>
      <c r="L1575" s="1" t="n">
        <f aca="false">L1574+K1575</f>
        <v>0</v>
      </c>
    </row>
    <row r="1576" customFormat="false" ht="15" hidden="false" customHeight="true" outlineLevel="0" collapsed="false">
      <c r="A1576" s="1" t="s">
        <v>315</v>
      </c>
      <c r="B1576" s="1" t="s">
        <v>1221</v>
      </c>
      <c r="C1576" s="1" t="n">
        <v>8</v>
      </c>
      <c r="E1576" s="1" t="s">
        <v>4342</v>
      </c>
      <c r="F1576" s="1" t="s">
        <v>4343</v>
      </c>
      <c r="G1576" s="1" t="s">
        <v>4344</v>
      </c>
      <c r="H1576" s="1" t="s">
        <v>4345</v>
      </c>
      <c r="I1576" s="1" t="s">
        <v>4346</v>
      </c>
      <c r="J1576" s="1" t="s">
        <v>4347</v>
      </c>
      <c r="K1576" s="1" t="n">
        <f aca="false">IF(Search!$D$5="",0,IF(AND(OR(Search!$N$5="",ISNUMBER(SEARCH(Search!$N$5,J1576))),OR(Search!$N$6="",ISNUMBER(SEARCH(Search!$N$6,J1576))),OR(Search!$N$7="",ISNUMBER(SEARCH(Search!$N$7,J1576))),OR(Search!$N$8="",ISNUMBER(SEARCH(Search!$N$8,J1576)))),1,0))</f>
        <v>0</v>
      </c>
      <c r="L1576" s="1" t="n">
        <f aca="false">L1575+K1576</f>
        <v>0</v>
      </c>
    </row>
    <row r="1577" customFormat="false" ht="15" hidden="false" customHeight="true" outlineLevel="0" collapsed="false">
      <c r="A1577" s="1" t="s">
        <v>315</v>
      </c>
      <c r="B1577" s="1" t="s">
        <v>1221</v>
      </c>
      <c r="C1577" s="1" t="n">
        <v>9</v>
      </c>
      <c r="E1577" s="1" t="s">
        <v>4348</v>
      </c>
      <c r="F1577" s="1" t="s">
        <v>4349</v>
      </c>
      <c r="G1577" s="1" t="s">
        <v>4350</v>
      </c>
      <c r="H1577" s="1" t="s">
        <v>2239</v>
      </c>
      <c r="I1577" s="1" t="s">
        <v>4351</v>
      </c>
      <c r="J1577" s="1" t="s">
        <v>4352</v>
      </c>
      <c r="K1577" s="1" t="n">
        <f aca="false">IF(Search!$D$5="",0,IF(AND(OR(Search!$N$5="",ISNUMBER(SEARCH(Search!$N$5,J1577))),OR(Search!$N$6="",ISNUMBER(SEARCH(Search!$N$6,J1577))),OR(Search!$N$7="",ISNUMBER(SEARCH(Search!$N$7,J1577))),OR(Search!$N$8="",ISNUMBER(SEARCH(Search!$N$8,J1577)))),1,0))</f>
        <v>0</v>
      </c>
      <c r="L1577" s="1" t="n">
        <f aca="false">L1576+K1577</f>
        <v>0</v>
      </c>
    </row>
    <row r="1578" customFormat="false" ht="15" hidden="false" customHeight="true" outlineLevel="0" collapsed="false">
      <c r="A1578" s="1" t="s">
        <v>315</v>
      </c>
      <c r="B1578" s="1" t="s">
        <v>1221</v>
      </c>
      <c r="C1578" s="1" t="n">
        <v>10</v>
      </c>
      <c r="E1578" s="1" t="s">
        <v>1044</v>
      </c>
      <c r="F1578" s="1" t="s">
        <v>4353</v>
      </c>
      <c r="G1578" s="1" t="s">
        <v>4354</v>
      </c>
      <c r="H1578" s="1" t="s">
        <v>3246</v>
      </c>
      <c r="I1578" s="1" t="s">
        <v>4355</v>
      </c>
      <c r="J1578" s="1" t="s">
        <v>4356</v>
      </c>
      <c r="K1578" s="1" t="n">
        <f aca="false">IF(Search!$D$5="",0,IF(AND(OR(Search!$N$5="",ISNUMBER(SEARCH(Search!$N$5,J1578))),OR(Search!$N$6="",ISNUMBER(SEARCH(Search!$N$6,J1578))),OR(Search!$N$7="",ISNUMBER(SEARCH(Search!$N$7,J1578))),OR(Search!$N$8="",ISNUMBER(SEARCH(Search!$N$8,J1578)))),1,0))</f>
        <v>0</v>
      </c>
      <c r="L1578" s="1" t="n">
        <f aca="false">L1577+K1578</f>
        <v>0</v>
      </c>
    </row>
    <row r="1579" customFormat="false" ht="15" hidden="false" customHeight="true" outlineLevel="0" collapsed="false">
      <c r="A1579" s="1" t="s">
        <v>315</v>
      </c>
      <c r="B1579" s="1" t="s">
        <v>1221</v>
      </c>
      <c r="C1579" s="1" t="n">
        <v>11</v>
      </c>
      <c r="E1579" s="1" t="s">
        <v>1045</v>
      </c>
      <c r="F1579" s="1" t="s">
        <v>4357</v>
      </c>
      <c r="G1579" s="1" t="s">
        <v>4358</v>
      </c>
      <c r="H1579" s="1" t="s">
        <v>4359</v>
      </c>
      <c r="I1579" s="1" t="s">
        <v>4360</v>
      </c>
      <c r="J1579" s="1" t="s">
        <v>4361</v>
      </c>
      <c r="K1579" s="1" t="n">
        <f aca="false">IF(Search!$D$5="",0,IF(AND(OR(Search!$N$5="",ISNUMBER(SEARCH(Search!$N$5,J1579))),OR(Search!$N$6="",ISNUMBER(SEARCH(Search!$N$6,J1579))),OR(Search!$N$7="",ISNUMBER(SEARCH(Search!$N$7,J1579))),OR(Search!$N$8="",ISNUMBER(SEARCH(Search!$N$8,J1579)))),1,0))</f>
        <v>0</v>
      </c>
      <c r="L1579" s="1" t="n">
        <f aca="false">L1578+K1579</f>
        <v>0</v>
      </c>
    </row>
    <row r="1580" customFormat="false" ht="15" hidden="false" customHeight="true" outlineLevel="0" collapsed="false">
      <c r="A1580" s="1" t="s">
        <v>315</v>
      </c>
      <c r="B1580" s="1" t="s">
        <v>1221</v>
      </c>
      <c r="C1580" s="1" t="n">
        <v>12</v>
      </c>
      <c r="E1580" s="1" t="s">
        <v>4362</v>
      </c>
      <c r="F1580" s="1" t="s">
        <v>4363</v>
      </c>
      <c r="G1580" s="1" t="s">
        <v>4364</v>
      </c>
      <c r="H1580" s="1" t="s">
        <v>4365</v>
      </c>
      <c r="I1580" s="1" t="s">
        <v>4366</v>
      </c>
      <c r="J1580" s="1" t="s">
        <v>4367</v>
      </c>
      <c r="K1580" s="1" t="n">
        <f aca="false">IF(Search!$D$5="",0,IF(AND(OR(Search!$N$5="",ISNUMBER(SEARCH(Search!$N$5,J1580))),OR(Search!$N$6="",ISNUMBER(SEARCH(Search!$N$6,J1580))),OR(Search!$N$7="",ISNUMBER(SEARCH(Search!$N$7,J1580))),OR(Search!$N$8="",ISNUMBER(SEARCH(Search!$N$8,J1580)))),1,0))</f>
        <v>0</v>
      </c>
      <c r="L1580" s="1" t="n">
        <f aca="false">L1579+K1580</f>
        <v>0</v>
      </c>
    </row>
    <row r="1581" customFormat="false" ht="15" hidden="false" customHeight="true" outlineLevel="0" collapsed="false">
      <c r="A1581" s="1" t="s">
        <v>315</v>
      </c>
      <c r="B1581" s="1" t="s">
        <v>1221</v>
      </c>
      <c r="C1581" s="1" t="n">
        <v>13</v>
      </c>
      <c r="E1581" s="1" t="s">
        <v>2838</v>
      </c>
      <c r="F1581" s="1" t="s">
        <v>4368</v>
      </c>
      <c r="G1581" s="1" t="s">
        <v>4369</v>
      </c>
      <c r="H1581" s="1" t="s">
        <v>4370</v>
      </c>
      <c r="I1581" s="1" t="s">
        <v>4371</v>
      </c>
      <c r="J1581" s="1" t="s">
        <v>4372</v>
      </c>
      <c r="K1581" s="1" t="n">
        <f aca="false">IF(Search!$D$5="",0,IF(AND(OR(Search!$N$5="",ISNUMBER(SEARCH(Search!$N$5,J1581))),OR(Search!$N$6="",ISNUMBER(SEARCH(Search!$N$6,J1581))),OR(Search!$N$7="",ISNUMBER(SEARCH(Search!$N$7,J1581))),OR(Search!$N$8="",ISNUMBER(SEARCH(Search!$N$8,J1581)))),1,0))</f>
        <v>0</v>
      </c>
      <c r="L1581" s="1" t="n">
        <f aca="false">L1580+K1581</f>
        <v>0</v>
      </c>
    </row>
    <row r="1582" customFormat="false" ht="15" hidden="false" customHeight="true" outlineLevel="0" collapsed="false">
      <c r="A1582" s="1" t="s">
        <v>315</v>
      </c>
      <c r="B1582" s="1" t="s">
        <v>1221</v>
      </c>
      <c r="C1582" s="1" t="n">
        <v>14</v>
      </c>
      <c r="E1582" s="1" t="s">
        <v>1401</v>
      </c>
      <c r="F1582" s="1" t="s">
        <v>4373</v>
      </c>
      <c r="G1582" s="1" t="s">
        <v>4374</v>
      </c>
      <c r="H1582" s="1" t="s">
        <v>4066</v>
      </c>
      <c r="I1582" s="1" t="s">
        <v>4375</v>
      </c>
      <c r="J1582" s="1" t="s">
        <v>4376</v>
      </c>
      <c r="K1582" s="1" t="n">
        <f aca="false">IF(Search!$D$5="",0,IF(AND(OR(Search!$N$5="",ISNUMBER(SEARCH(Search!$N$5,J1582))),OR(Search!$N$6="",ISNUMBER(SEARCH(Search!$N$6,J1582))),OR(Search!$N$7="",ISNUMBER(SEARCH(Search!$N$7,J1582))),OR(Search!$N$8="",ISNUMBER(SEARCH(Search!$N$8,J1582)))),1,0))</f>
        <v>0</v>
      </c>
      <c r="L1582" s="1" t="n">
        <f aca="false">L1581+K1582</f>
        <v>0</v>
      </c>
    </row>
    <row r="1583" customFormat="false" ht="15" hidden="false" customHeight="true" outlineLevel="0" collapsed="false">
      <c r="A1583" s="1" t="s">
        <v>315</v>
      </c>
      <c r="B1583" s="1" t="s">
        <v>1221</v>
      </c>
      <c r="C1583" s="1" t="n">
        <v>15</v>
      </c>
      <c r="E1583" s="1" t="s">
        <v>1862</v>
      </c>
      <c r="F1583" s="1" t="s">
        <v>4377</v>
      </c>
      <c r="G1583" s="1" t="s">
        <v>4378</v>
      </c>
      <c r="H1583" s="1" t="s">
        <v>4379</v>
      </c>
      <c r="I1583" s="1" t="s">
        <v>4380</v>
      </c>
      <c r="J1583" s="1" t="s">
        <v>4381</v>
      </c>
      <c r="K1583" s="1" t="n">
        <f aca="false">IF(Search!$D$5="",0,IF(AND(OR(Search!$N$5="",ISNUMBER(SEARCH(Search!$N$5,J1583))),OR(Search!$N$6="",ISNUMBER(SEARCH(Search!$N$6,J1583))),OR(Search!$N$7="",ISNUMBER(SEARCH(Search!$N$7,J1583))),OR(Search!$N$8="",ISNUMBER(SEARCH(Search!$N$8,J1583)))),1,0))</f>
        <v>0</v>
      </c>
      <c r="L1583" s="1" t="n">
        <f aca="false">L1582+K1583</f>
        <v>0</v>
      </c>
    </row>
    <row r="1584" customFormat="false" ht="15" hidden="false" customHeight="true" outlineLevel="0" collapsed="false">
      <c r="A1584" s="1" t="s">
        <v>315</v>
      </c>
      <c r="B1584" s="1" t="s">
        <v>1221</v>
      </c>
      <c r="C1584" s="1" t="n">
        <v>16</v>
      </c>
      <c r="E1584" s="1" t="s">
        <v>2776</v>
      </c>
      <c r="F1584" s="1" t="s">
        <v>4382</v>
      </c>
      <c r="G1584" s="1" t="s">
        <v>4383</v>
      </c>
      <c r="H1584" s="1" t="s">
        <v>3806</v>
      </c>
      <c r="I1584" s="1" t="s">
        <v>4384</v>
      </c>
      <c r="J1584" s="1" t="s">
        <v>4385</v>
      </c>
      <c r="K1584" s="1" t="n">
        <f aca="false">IF(Search!$D$5="",0,IF(AND(OR(Search!$N$5="",ISNUMBER(SEARCH(Search!$N$5,J1584))),OR(Search!$N$6="",ISNUMBER(SEARCH(Search!$N$6,J1584))),OR(Search!$N$7="",ISNUMBER(SEARCH(Search!$N$7,J1584))),OR(Search!$N$8="",ISNUMBER(SEARCH(Search!$N$8,J1584)))),1,0))</f>
        <v>0</v>
      </c>
      <c r="L1584" s="1" t="n">
        <f aca="false">L1583+K1584</f>
        <v>0</v>
      </c>
    </row>
    <row r="1585" customFormat="false" ht="15" hidden="false" customHeight="true" outlineLevel="0" collapsed="false">
      <c r="A1585" s="1" t="s">
        <v>315</v>
      </c>
      <c r="B1585" s="1" t="s">
        <v>1221</v>
      </c>
      <c r="C1585" s="1" t="n">
        <v>17</v>
      </c>
      <c r="E1585" s="1" t="s">
        <v>2543</v>
      </c>
      <c r="F1585" s="1" t="s">
        <v>4386</v>
      </c>
      <c r="G1585" s="1" t="s">
        <v>4387</v>
      </c>
      <c r="H1585" s="1" t="s">
        <v>4388</v>
      </c>
      <c r="I1585" s="1" t="s">
        <v>4389</v>
      </c>
      <c r="J1585" s="1" t="s">
        <v>4390</v>
      </c>
      <c r="K1585" s="1" t="n">
        <f aca="false">IF(Search!$D$5="",0,IF(AND(OR(Search!$N$5="",ISNUMBER(SEARCH(Search!$N$5,J1585))),OR(Search!$N$6="",ISNUMBER(SEARCH(Search!$N$6,J1585))),OR(Search!$N$7="",ISNUMBER(SEARCH(Search!$N$7,J1585))),OR(Search!$N$8="",ISNUMBER(SEARCH(Search!$N$8,J1585)))),1,0))</f>
        <v>0</v>
      </c>
      <c r="L1585" s="1" t="n">
        <f aca="false">L1584+K1585</f>
        <v>0</v>
      </c>
    </row>
    <row r="1586" customFormat="false" ht="15" hidden="false" customHeight="true" outlineLevel="0" collapsed="false">
      <c r="A1586" s="1" t="s">
        <v>315</v>
      </c>
      <c r="B1586" s="1" t="s">
        <v>1221</v>
      </c>
      <c r="C1586" s="1" t="n">
        <v>18</v>
      </c>
      <c r="E1586" s="1" t="s">
        <v>1409</v>
      </c>
      <c r="F1586" s="1" t="s">
        <v>4391</v>
      </c>
      <c r="G1586" s="1" t="s">
        <v>4392</v>
      </c>
      <c r="H1586" s="1" t="s">
        <v>4393</v>
      </c>
      <c r="I1586" s="1" t="s">
        <v>4394</v>
      </c>
      <c r="J1586" s="1" t="s">
        <v>4395</v>
      </c>
      <c r="K1586" s="1" t="n">
        <f aca="false">IF(Search!$D$5="",0,IF(AND(OR(Search!$N$5="",ISNUMBER(SEARCH(Search!$N$5,J1586))),OR(Search!$N$6="",ISNUMBER(SEARCH(Search!$N$6,J1586))),OR(Search!$N$7="",ISNUMBER(SEARCH(Search!$N$7,J1586))),OR(Search!$N$8="",ISNUMBER(SEARCH(Search!$N$8,J1586)))),1,0))</f>
        <v>0</v>
      </c>
      <c r="L1586" s="1" t="n">
        <f aca="false">L1585+K1586</f>
        <v>0</v>
      </c>
    </row>
    <row r="1587" customFormat="false" ht="15" hidden="false" customHeight="true" outlineLevel="0" collapsed="false">
      <c r="A1587" s="1" t="s">
        <v>315</v>
      </c>
      <c r="B1587" s="1" t="s">
        <v>1221</v>
      </c>
      <c r="C1587" s="1" t="n">
        <v>19</v>
      </c>
      <c r="E1587" s="1" t="s">
        <v>2682</v>
      </c>
      <c r="F1587" s="1" t="s">
        <v>4396</v>
      </c>
      <c r="G1587" s="1" t="s">
        <v>4397</v>
      </c>
      <c r="H1587" s="1" t="s">
        <v>3266</v>
      </c>
      <c r="I1587" s="1" t="s">
        <v>4398</v>
      </c>
      <c r="J1587" s="1" t="s">
        <v>4399</v>
      </c>
      <c r="K1587" s="1" t="n">
        <f aca="false">IF(Search!$D$5="",0,IF(AND(OR(Search!$N$5="",ISNUMBER(SEARCH(Search!$N$5,J1587))),OR(Search!$N$6="",ISNUMBER(SEARCH(Search!$N$6,J1587))),OR(Search!$N$7="",ISNUMBER(SEARCH(Search!$N$7,J1587))),OR(Search!$N$8="",ISNUMBER(SEARCH(Search!$N$8,J1587)))),1,0))</f>
        <v>0</v>
      </c>
      <c r="L1587" s="1" t="n">
        <f aca="false">L1586+K1587</f>
        <v>0</v>
      </c>
    </row>
    <row r="1588" customFormat="false" ht="15" hidden="false" customHeight="true" outlineLevel="0" collapsed="false">
      <c r="A1588" s="1" t="s">
        <v>315</v>
      </c>
      <c r="B1588" s="1" t="s">
        <v>1221</v>
      </c>
      <c r="C1588" s="1" t="n">
        <v>20</v>
      </c>
      <c r="E1588" s="1" t="s">
        <v>2888</v>
      </c>
      <c r="F1588" s="1" t="s">
        <v>4400</v>
      </c>
      <c r="G1588" s="1" t="s">
        <v>4401</v>
      </c>
      <c r="H1588" s="1" t="s">
        <v>2278</v>
      </c>
      <c r="I1588" s="1" t="s">
        <v>4402</v>
      </c>
      <c r="J1588" s="1" t="s">
        <v>4403</v>
      </c>
      <c r="K1588" s="1" t="n">
        <f aca="false">IF(Search!$D$5="",0,IF(AND(OR(Search!$N$5="",ISNUMBER(SEARCH(Search!$N$5,J1588))),OR(Search!$N$6="",ISNUMBER(SEARCH(Search!$N$6,J1588))),OR(Search!$N$7="",ISNUMBER(SEARCH(Search!$N$7,J1588))),OR(Search!$N$8="",ISNUMBER(SEARCH(Search!$N$8,J1588)))),1,0))</f>
        <v>0</v>
      </c>
      <c r="L1588" s="1" t="n">
        <f aca="false">L1587+K1588</f>
        <v>0</v>
      </c>
    </row>
    <row r="1589" customFormat="false" ht="15" hidden="false" customHeight="true" outlineLevel="0" collapsed="false">
      <c r="A1589" s="1" t="s">
        <v>315</v>
      </c>
      <c r="B1589" s="1" t="s">
        <v>1221</v>
      </c>
      <c r="C1589" s="1" t="n">
        <v>21</v>
      </c>
      <c r="E1589" s="1" t="s">
        <v>987</v>
      </c>
      <c r="F1589" s="1" t="s">
        <v>4404</v>
      </c>
      <c r="G1589" s="1" t="s">
        <v>4405</v>
      </c>
      <c r="H1589" s="1" t="s">
        <v>1607</v>
      </c>
      <c r="I1589" s="1" t="s">
        <v>4406</v>
      </c>
      <c r="J1589" s="1" t="s">
        <v>4407</v>
      </c>
      <c r="K1589" s="1" t="n">
        <f aca="false">IF(Search!$D$5="",0,IF(AND(OR(Search!$N$5="",ISNUMBER(SEARCH(Search!$N$5,J1589))),OR(Search!$N$6="",ISNUMBER(SEARCH(Search!$N$6,J1589))),OR(Search!$N$7="",ISNUMBER(SEARCH(Search!$N$7,J1589))),OR(Search!$N$8="",ISNUMBER(SEARCH(Search!$N$8,J1589)))),1,0))</f>
        <v>0</v>
      </c>
      <c r="L1589" s="1" t="n">
        <f aca="false">L1588+K1589</f>
        <v>0</v>
      </c>
    </row>
    <row r="1590" customFormat="false" ht="15" hidden="false" customHeight="true" outlineLevel="0" collapsed="false">
      <c r="A1590" s="1" t="s">
        <v>315</v>
      </c>
      <c r="B1590" s="1" t="s">
        <v>1221</v>
      </c>
      <c r="C1590" s="1" t="n">
        <v>24</v>
      </c>
      <c r="E1590" s="1" t="s">
        <v>4408</v>
      </c>
      <c r="J1590" s="1" t="s">
        <v>4408</v>
      </c>
      <c r="K1590" s="1" t="n">
        <f aca="false">IF(Search!$D$5="",0,IF(AND(OR(Search!$N$5="",ISNUMBER(SEARCH(Search!$N$5,J1590))),OR(Search!$N$6="",ISNUMBER(SEARCH(Search!$N$6,J1590))),OR(Search!$N$7="",ISNUMBER(SEARCH(Search!$N$7,J1590))),OR(Search!$N$8="",ISNUMBER(SEARCH(Search!$N$8,J1590)))),1,0))</f>
        <v>0</v>
      </c>
      <c r="L1590" s="1" t="n">
        <f aca="false">L1589+K1590</f>
        <v>0</v>
      </c>
    </row>
    <row r="1591" customFormat="false" ht="54.75" hidden="false" customHeight="true" outlineLevel="0" collapsed="false">
      <c r="A1591" s="1" t="s">
        <v>315</v>
      </c>
      <c r="B1591" s="1" t="s">
        <v>1221</v>
      </c>
      <c r="C1591" s="1" t="n">
        <v>25</v>
      </c>
      <c r="E1591" s="46" t="s">
        <v>4409</v>
      </c>
      <c r="F1591" s="46" t="s">
        <v>1807</v>
      </c>
      <c r="G1591" s="1" t="s">
        <v>4410</v>
      </c>
      <c r="H1591" s="46" t="s">
        <v>4411</v>
      </c>
      <c r="J1591" s="46" t="s">
        <v>4412</v>
      </c>
      <c r="K1591" s="1" t="n">
        <f aca="false">IF(Search!$D$5="",0,IF(AND(OR(Search!$N$5="",ISNUMBER(SEARCH(Search!$N$5,J1591))),OR(Search!$N$6="",ISNUMBER(SEARCH(Search!$N$6,J1591))),OR(Search!$N$7="",ISNUMBER(SEARCH(Search!$N$7,J1591))),OR(Search!$N$8="",ISNUMBER(SEARCH(Search!$N$8,J1591)))),1,0))</f>
        <v>0</v>
      </c>
      <c r="L1591" s="1" t="n">
        <f aca="false">L1590+K1591</f>
        <v>0</v>
      </c>
    </row>
    <row r="1592" customFormat="false" ht="15" hidden="false" customHeight="true" outlineLevel="0" collapsed="false">
      <c r="A1592" s="1" t="s">
        <v>315</v>
      </c>
      <c r="B1592" s="1" t="s">
        <v>1221</v>
      </c>
      <c r="C1592" s="1" t="n">
        <v>26</v>
      </c>
      <c r="E1592" s="1" t="s">
        <v>4413</v>
      </c>
      <c r="F1592" s="1" t="s">
        <v>4342</v>
      </c>
      <c r="G1592" s="1" t="s">
        <v>4414</v>
      </c>
      <c r="H1592" s="1" t="s">
        <v>4415</v>
      </c>
      <c r="J1592" s="1" t="s">
        <v>4416</v>
      </c>
      <c r="K1592" s="1" t="n">
        <f aca="false">IF(Search!$D$5="",0,IF(AND(OR(Search!$N$5="",ISNUMBER(SEARCH(Search!$N$5,J1592))),OR(Search!$N$6="",ISNUMBER(SEARCH(Search!$N$6,J1592))),OR(Search!$N$7="",ISNUMBER(SEARCH(Search!$N$7,J1592))),OR(Search!$N$8="",ISNUMBER(SEARCH(Search!$N$8,J1592)))),1,0))</f>
        <v>0</v>
      </c>
      <c r="L1592" s="1" t="n">
        <f aca="false">L1591+K1592</f>
        <v>0</v>
      </c>
    </row>
    <row r="1593" customFormat="false" ht="15" hidden="false" customHeight="true" outlineLevel="0" collapsed="false">
      <c r="A1593" s="1" t="s">
        <v>315</v>
      </c>
      <c r="B1593" s="1" t="s">
        <v>1221</v>
      </c>
      <c r="C1593" s="1" t="n">
        <v>27</v>
      </c>
      <c r="E1593" s="1" t="s">
        <v>4417</v>
      </c>
      <c r="F1593" s="1" t="s">
        <v>4348</v>
      </c>
      <c r="G1593" s="1" t="s">
        <v>4414</v>
      </c>
      <c r="H1593" s="1" t="s">
        <v>4418</v>
      </c>
      <c r="J1593" s="1" t="s">
        <v>4419</v>
      </c>
      <c r="K1593" s="1" t="n">
        <f aca="false">IF(Search!$D$5="",0,IF(AND(OR(Search!$N$5="",ISNUMBER(SEARCH(Search!$N$5,J1593))),OR(Search!$N$6="",ISNUMBER(SEARCH(Search!$N$6,J1593))),OR(Search!$N$7="",ISNUMBER(SEARCH(Search!$N$7,J1593))),OR(Search!$N$8="",ISNUMBER(SEARCH(Search!$N$8,J1593)))),1,0))</f>
        <v>0</v>
      </c>
      <c r="L1593" s="1" t="n">
        <f aca="false">L1592+K1593</f>
        <v>0</v>
      </c>
    </row>
    <row r="1594" customFormat="false" ht="15" hidden="false" customHeight="true" outlineLevel="0" collapsed="false">
      <c r="A1594" s="1" t="s">
        <v>315</v>
      </c>
      <c r="B1594" s="1" t="s">
        <v>1221</v>
      </c>
      <c r="C1594" s="1" t="n">
        <v>28</v>
      </c>
      <c r="E1594" s="1" t="s">
        <v>4420</v>
      </c>
      <c r="F1594" s="1" t="s">
        <v>1043</v>
      </c>
      <c r="G1594" s="1" t="s">
        <v>4414</v>
      </c>
      <c r="H1594" s="1" t="s">
        <v>4421</v>
      </c>
      <c r="J1594" s="1" t="s">
        <v>4422</v>
      </c>
      <c r="K1594" s="1" t="n">
        <f aca="false">IF(Search!$D$5="",0,IF(AND(OR(Search!$N$5="",ISNUMBER(SEARCH(Search!$N$5,J1594))),OR(Search!$N$6="",ISNUMBER(SEARCH(Search!$N$6,J1594))),OR(Search!$N$7="",ISNUMBER(SEARCH(Search!$N$7,J1594))),OR(Search!$N$8="",ISNUMBER(SEARCH(Search!$N$8,J1594)))),1,0))</f>
        <v>0</v>
      </c>
      <c r="L1594" s="1" t="n">
        <f aca="false">L1593+K1594</f>
        <v>0</v>
      </c>
    </row>
    <row r="1595" customFormat="false" ht="15" hidden="false" customHeight="true" outlineLevel="0" collapsed="false">
      <c r="A1595" s="1" t="s">
        <v>315</v>
      </c>
      <c r="B1595" s="1" t="s">
        <v>1221</v>
      </c>
      <c r="C1595" s="1" t="n">
        <v>29</v>
      </c>
      <c r="E1595" s="1" t="s">
        <v>4423</v>
      </c>
      <c r="F1595" s="1" t="s">
        <v>1044</v>
      </c>
      <c r="G1595" s="1" t="s">
        <v>4414</v>
      </c>
      <c r="H1595" s="1" t="s">
        <v>4424</v>
      </c>
      <c r="J1595" s="1" t="s">
        <v>4425</v>
      </c>
      <c r="K1595" s="1" t="n">
        <f aca="false">IF(Search!$D$5="",0,IF(AND(OR(Search!$N$5="",ISNUMBER(SEARCH(Search!$N$5,J1595))),OR(Search!$N$6="",ISNUMBER(SEARCH(Search!$N$6,J1595))),OR(Search!$N$7="",ISNUMBER(SEARCH(Search!$N$7,J1595))),OR(Search!$N$8="",ISNUMBER(SEARCH(Search!$N$8,J1595)))),1,0))</f>
        <v>0</v>
      </c>
      <c r="L1595" s="1" t="n">
        <f aca="false">L1594+K1595</f>
        <v>0</v>
      </c>
    </row>
    <row r="1596" customFormat="false" ht="15" hidden="false" customHeight="true" outlineLevel="0" collapsed="false">
      <c r="A1596" s="1" t="s">
        <v>315</v>
      </c>
      <c r="B1596" s="1" t="s">
        <v>1221</v>
      </c>
      <c r="C1596" s="1" t="n">
        <v>30</v>
      </c>
      <c r="E1596" s="1" t="s">
        <v>4426</v>
      </c>
      <c r="F1596" s="1" t="s">
        <v>4427</v>
      </c>
      <c r="G1596" s="1" t="s">
        <v>4414</v>
      </c>
      <c r="H1596" s="1" t="s">
        <v>4428</v>
      </c>
      <c r="J1596" s="1" t="s">
        <v>4429</v>
      </c>
      <c r="K1596" s="1" t="n">
        <f aca="false">IF(Search!$D$5="",0,IF(AND(OR(Search!$N$5="",ISNUMBER(SEARCH(Search!$N$5,J1596))),OR(Search!$N$6="",ISNUMBER(SEARCH(Search!$N$6,J1596))),OR(Search!$N$7="",ISNUMBER(SEARCH(Search!$N$7,J1596))),OR(Search!$N$8="",ISNUMBER(SEARCH(Search!$N$8,J1596)))),1,0))</f>
        <v>0</v>
      </c>
      <c r="L1596" s="1" t="n">
        <f aca="false">L1595+K1596</f>
        <v>0</v>
      </c>
    </row>
    <row r="1597" customFormat="false" ht="15" hidden="false" customHeight="true" outlineLevel="0" collapsed="false">
      <c r="A1597" s="1" t="s">
        <v>315</v>
      </c>
      <c r="B1597" s="1" t="s">
        <v>1221</v>
      </c>
      <c r="C1597" s="1" t="n">
        <v>31</v>
      </c>
      <c r="E1597" s="1" t="s">
        <v>4430</v>
      </c>
      <c r="F1597" s="1" t="s">
        <v>1045</v>
      </c>
      <c r="G1597" s="1" t="s">
        <v>4414</v>
      </c>
      <c r="H1597" s="1" t="s">
        <v>4431</v>
      </c>
      <c r="J1597" s="1" t="s">
        <v>4432</v>
      </c>
      <c r="K1597" s="1" t="n">
        <f aca="false">IF(Search!$D$5="",0,IF(AND(OR(Search!$N$5="",ISNUMBER(SEARCH(Search!$N$5,J1597))),OR(Search!$N$6="",ISNUMBER(SEARCH(Search!$N$6,J1597))),OR(Search!$N$7="",ISNUMBER(SEARCH(Search!$N$7,J1597))),OR(Search!$N$8="",ISNUMBER(SEARCH(Search!$N$8,J1597)))),1,0))</f>
        <v>0</v>
      </c>
      <c r="L1597" s="1" t="n">
        <f aca="false">L1596+K1597</f>
        <v>0</v>
      </c>
    </row>
    <row r="1598" customFormat="false" ht="15" hidden="false" customHeight="true" outlineLevel="0" collapsed="false">
      <c r="A1598" s="1" t="s">
        <v>315</v>
      </c>
      <c r="B1598" s="1" t="s">
        <v>1221</v>
      </c>
      <c r="C1598" s="1" t="n">
        <v>32</v>
      </c>
      <c r="E1598" s="1" t="s">
        <v>4433</v>
      </c>
      <c r="F1598" s="1" t="s">
        <v>2838</v>
      </c>
      <c r="G1598" s="1" t="s">
        <v>4414</v>
      </c>
      <c r="H1598" s="1" t="s">
        <v>4434</v>
      </c>
      <c r="J1598" s="1" t="s">
        <v>4435</v>
      </c>
      <c r="K1598" s="1" t="n">
        <f aca="false">IF(Search!$D$5="",0,IF(AND(OR(Search!$N$5="",ISNUMBER(SEARCH(Search!$N$5,J1598))),OR(Search!$N$6="",ISNUMBER(SEARCH(Search!$N$6,J1598))),OR(Search!$N$7="",ISNUMBER(SEARCH(Search!$N$7,J1598))),OR(Search!$N$8="",ISNUMBER(SEARCH(Search!$N$8,J1598)))),1,0))</f>
        <v>0</v>
      </c>
      <c r="L1598" s="1" t="n">
        <f aca="false">L1597+K1598</f>
        <v>0</v>
      </c>
    </row>
    <row r="1599" customFormat="false" ht="15" hidden="false" customHeight="true" outlineLevel="0" collapsed="false">
      <c r="A1599" s="1" t="s">
        <v>315</v>
      </c>
      <c r="B1599" s="1" t="s">
        <v>1221</v>
      </c>
      <c r="C1599" s="1" t="n">
        <v>33</v>
      </c>
      <c r="E1599" s="1" t="s">
        <v>4436</v>
      </c>
      <c r="F1599" s="1" t="s">
        <v>2850</v>
      </c>
      <c r="G1599" s="1" t="s">
        <v>4414</v>
      </c>
      <c r="H1599" s="1" t="s">
        <v>4437</v>
      </c>
      <c r="J1599" s="1" t="s">
        <v>4438</v>
      </c>
      <c r="K1599" s="1" t="n">
        <f aca="false">IF(Search!$D$5="",0,IF(AND(OR(Search!$N$5="",ISNUMBER(SEARCH(Search!$N$5,J1599))),OR(Search!$N$6="",ISNUMBER(SEARCH(Search!$N$6,J1599))),OR(Search!$N$7="",ISNUMBER(SEARCH(Search!$N$7,J1599))),OR(Search!$N$8="",ISNUMBER(SEARCH(Search!$N$8,J1599)))),1,0))</f>
        <v>0</v>
      </c>
      <c r="L1599" s="1" t="n">
        <f aca="false">L1598+K1599</f>
        <v>0</v>
      </c>
    </row>
    <row r="1600" customFormat="false" ht="15" hidden="false" customHeight="true" outlineLevel="0" collapsed="false">
      <c r="A1600" s="1" t="s">
        <v>315</v>
      </c>
      <c r="B1600" s="1" t="s">
        <v>1221</v>
      </c>
      <c r="C1600" s="1" t="n">
        <v>34</v>
      </c>
      <c r="E1600" s="1" t="s">
        <v>4439</v>
      </c>
      <c r="F1600" s="1" t="s">
        <v>1862</v>
      </c>
      <c r="G1600" s="1" t="s">
        <v>4414</v>
      </c>
      <c r="H1600" s="1" t="s">
        <v>4440</v>
      </c>
      <c r="J1600" s="1" t="s">
        <v>4441</v>
      </c>
      <c r="K1600" s="1" t="n">
        <f aca="false">IF(Search!$D$5="",0,IF(AND(OR(Search!$N$5="",ISNUMBER(SEARCH(Search!$N$5,J1600))),OR(Search!$N$6="",ISNUMBER(SEARCH(Search!$N$6,J1600))),OR(Search!$N$7="",ISNUMBER(SEARCH(Search!$N$7,J1600))),OR(Search!$N$8="",ISNUMBER(SEARCH(Search!$N$8,J1600)))),1,0))</f>
        <v>0</v>
      </c>
      <c r="L1600" s="1" t="n">
        <f aca="false">L1599+K1600</f>
        <v>0</v>
      </c>
    </row>
    <row r="1601" customFormat="false" ht="15" hidden="false" customHeight="true" outlineLevel="0" collapsed="false">
      <c r="A1601" s="1" t="s">
        <v>315</v>
      </c>
      <c r="B1601" s="1" t="s">
        <v>1221</v>
      </c>
      <c r="C1601" s="1" t="n">
        <v>35</v>
      </c>
      <c r="E1601" s="1" t="s">
        <v>4442</v>
      </c>
      <c r="F1601" s="1" t="s">
        <v>2776</v>
      </c>
      <c r="G1601" s="1" t="s">
        <v>4414</v>
      </c>
      <c r="H1601" s="1" t="s">
        <v>4443</v>
      </c>
      <c r="J1601" s="1" t="s">
        <v>4444</v>
      </c>
      <c r="K1601" s="1" t="n">
        <f aca="false">IF(Search!$D$5="",0,IF(AND(OR(Search!$N$5="",ISNUMBER(SEARCH(Search!$N$5,J1601))),OR(Search!$N$6="",ISNUMBER(SEARCH(Search!$N$6,J1601))),OR(Search!$N$7="",ISNUMBER(SEARCH(Search!$N$7,J1601))),OR(Search!$N$8="",ISNUMBER(SEARCH(Search!$N$8,J1601)))),1,0))</f>
        <v>0</v>
      </c>
      <c r="L1601" s="1" t="n">
        <f aca="false">L1600+K1601</f>
        <v>0</v>
      </c>
    </row>
    <row r="1602" customFormat="false" ht="15" hidden="false" customHeight="true" outlineLevel="0" collapsed="false">
      <c r="A1602" s="1" t="s">
        <v>315</v>
      </c>
      <c r="B1602" s="1" t="s">
        <v>1221</v>
      </c>
      <c r="C1602" s="1" t="n">
        <v>36</v>
      </c>
      <c r="E1602" s="1" t="s">
        <v>4445</v>
      </c>
      <c r="F1602" s="1" t="s">
        <v>2543</v>
      </c>
      <c r="G1602" s="1" t="s">
        <v>4414</v>
      </c>
      <c r="H1602" s="1" t="s">
        <v>4446</v>
      </c>
      <c r="J1602" s="1" t="s">
        <v>4447</v>
      </c>
      <c r="K1602" s="1" t="n">
        <f aca="false">IF(Search!$D$5="",0,IF(AND(OR(Search!$N$5="",ISNUMBER(SEARCH(Search!$N$5,J1602))),OR(Search!$N$6="",ISNUMBER(SEARCH(Search!$N$6,J1602))),OR(Search!$N$7="",ISNUMBER(SEARCH(Search!$N$7,J1602))),OR(Search!$N$8="",ISNUMBER(SEARCH(Search!$N$8,J1602)))),1,0))</f>
        <v>0</v>
      </c>
      <c r="L1602" s="1" t="n">
        <f aca="false">L1601+K1602</f>
        <v>0</v>
      </c>
    </row>
    <row r="1603" customFormat="false" ht="15" hidden="false" customHeight="true" outlineLevel="0" collapsed="false">
      <c r="A1603" s="1" t="s">
        <v>315</v>
      </c>
      <c r="B1603" s="1" t="s">
        <v>1221</v>
      </c>
      <c r="C1603" s="1" t="n">
        <v>37</v>
      </c>
      <c r="E1603" s="1" t="s">
        <v>4448</v>
      </c>
      <c r="F1603" s="1" t="s">
        <v>1409</v>
      </c>
      <c r="G1603" s="1" t="s">
        <v>4414</v>
      </c>
      <c r="H1603" s="1" t="s">
        <v>4449</v>
      </c>
      <c r="J1603" s="1" t="s">
        <v>4450</v>
      </c>
      <c r="K1603" s="1" t="n">
        <f aca="false">IF(Search!$D$5="",0,IF(AND(OR(Search!$N$5="",ISNUMBER(SEARCH(Search!$N$5,J1603))),OR(Search!$N$6="",ISNUMBER(SEARCH(Search!$N$6,J1603))),OR(Search!$N$7="",ISNUMBER(SEARCH(Search!$N$7,J1603))),OR(Search!$N$8="",ISNUMBER(SEARCH(Search!$N$8,J1603)))),1,0))</f>
        <v>0</v>
      </c>
      <c r="L1603" s="1" t="n">
        <f aca="false">L1602+K1603</f>
        <v>0</v>
      </c>
    </row>
    <row r="1604" customFormat="false" ht="15" hidden="false" customHeight="true" outlineLevel="0" collapsed="false">
      <c r="A1604" s="1" t="s">
        <v>315</v>
      </c>
      <c r="B1604" s="1" t="s">
        <v>1221</v>
      </c>
      <c r="C1604" s="1" t="n">
        <v>38</v>
      </c>
      <c r="E1604" s="1" t="s">
        <v>4451</v>
      </c>
      <c r="F1604" s="1" t="s">
        <v>1812</v>
      </c>
      <c r="G1604" s="1" t="s">
        <v>4414</v>
      </c>
      <c r="H1604" s="1" t="s">
        <v>4452</v>
      </c>
      <c r="J1604" s="1" t="s">
        <v>4453</v>
      </c>
      <c r="K1604" s="1" t="n">
        <f aca="false">IF(Search!$D$5="",0,IF(AND(OR(Search!$N$5="",ISNUMBER(SEARCH(Search!$N$5,J1604))),OR(Search!$N$6="",ISNUMBER(SEARCH(Search!$N$6,J1604))),OR(Search!$N$7="",ISNUMBER(SEARCH(Search!$N$7,J1604))),OR(Search!$N$8="",ISNUMBER(SEARCH(Search!$N$8,J1604)))),1,0))</f>
        <v>0</v>
      </c>
      <c r="L1604" s="1" t="n">
        <f aca="false">L1603+K1604</f>
        <v>0</v>
      </c>
    </row>
    <row r="1605" customFormat="false" ht="15" hidden="false" customHeight="true" outlineLevel="0" collapsed="false">
      <c r="A1605" s="1" t="s">
        <v>315</v>
      </c>
      <c r="B1605" s="1" t="s">
        <v>1221</v>
      </c>
      <c r="C1605" s="1" t="n">
        <v>39</v>
      </c>
      <c r="E1605" s="1" t="s">
        <v>4454</v>
      </c>
      <c r="F1605" s="1" t="s">
        <v>2888</v>
      </c>
      <c r="G1605" s="1" t="s">
        <v>4414</v>
      </c>
      <c r="H1605" s="1" t="s">
        <v>4455</v>
      </c>
      <c r="J1605" s="1" t="s">
        <v>4456</v>
      </c>
      <c r="K1605" s="1" t="n">
        <f aca="false">IF(Search!$D$5="",0,IF(AND(OR(Search!$N$5="",ISNUMBER(SEARCH(Search!$N$5,J1605))),OR(Search!$N$6="",ISNUMBER(SEARCH(Search!$N$6,J1605))),OR(Search!$N$7="",ISNUMBER(SEARCH(Search!$N$7,J1605))),OR(Search!$N$8="",ISNUMBER(SEARCH(Search!$N$8,J1605)))),1,0))</f>
        <v>0</v>
      </c>
      <c r="L1605" s="1" t="n">
        <f aca="false">L1604+K1605</f>
        <v>0</v>
      </c>
    </row>
    <row r="1606" customFormat="false" ht="15" hidden="false" customHeight="true" outlineLevel="0" collapsed="false">
      <c r="A1606" s="1" t="s">
        <v>315</v>
      </c>
      <c r="B1606" s="1" t="s">
        <v>1221</v>
      </c>
      <c r="C1606" s="1" t="n">
        <v>40</v>
      </c>
      <c r="E1606" s="1" t="s">
        <v>4457</v>
      </c>
      <c r="F1606" s="1" t="s">
        <v>987</v>
      </c>
      <c r="G1606" s="1" t="s">
        <v>4414</v>
      </c>
      <c r="H1606" s="1" t="s">
        <v>4458</v>
      </c>
      <c r="J1606" s="1" t="s">
        <v>4459</v>
      </c>
      <c r="K1606" s="1" t="n">
        <f aca="false">IF(Search!$D$5="",0,IF(AND(OR(Search!$N$5="",ISNUMBER(SEARCH(Search!$N$5,J1606))),OR(Search!$N$6="",ISNUMBER(SEARCH(Search!$N$6,J1606))),OR(Search!$N$7="",ISNUMBER(SEARCH(Search!$N$7,J1606))),OR(Search!$N$8="",ISNUMBER(SEARCH(Search!$N$8,J1606)))),1,0))</f>
        <v>0</v>
      </c>
      <c r="L1606" s="1" t="n">
        <f aca="false">L1605+K1606</f>
        <v>0</v>
      </c>
    </row>
    <row r="1607" customFormat="false" ht="16.5" hidden="false" customHeight="true" outlineLevel="0" collapsed="false">
      <c r="A1607" s="1" t="s">
        <v>315</v>
      </c>
      <c r="B1607" s="1" t="s">
        <v>1221</v>
      </c>
      <c r="C1607" s="1" t="n">
        <v>43</v>
      </c>
      <c r="E1607" s="1" t="s">
        <v>4460</v>
      </c>
      <c r="J1607" s="1" t="s">
        <v>4460</v>
      </c>
      <c r="K1607" s="1" t="n">
        <f aca="false">IF(Search!$D$5="",0,IF(AND(OR(Search!$N$5="",ISNUMBER(SEARCH(Search!$N$5,J1607))),OR(Search!$N$6="",ISNUMBER(SEARCH(Search!$N$6,J1607))),OR(Search!$N$7="",ISNUMBER(SEARCH(Search!$N$7,J1607))),OR(Search!$N$8="",ISNUMBER(SEARCH(Search!$N$8,J1607)))),1,0))</f>
        <v>0</v>
      </c>
      <c r="L1607" s="1" t="n">
        <f aca="false">L1606+K1607</f>
        <v>0</v>
      </c>
    </row>
    <row r="1608" customFormat="false" ht="54.75" hidden="false" customHeight="true" outlineLevel="0" collapsed="false">
      <c r="A1608" s="1" t="s">
        <v>315</v>
      </c>
      <c r="B1608" s="1" t="s">
        <v>1221</v>
      </c>
      <c r="C1608" s="1" t="n">
        <v>44</v>
      </c>
      <c r="E1608" s="1" t="s">
        <v>659</v>
      </c>
      <c r="F1608" s="46" t="s">
        <v>4461</v>
      </c>
      <c r="G1608" s="46" t="s">
        <v>4462</v>
      </c>
      <c r="H1608" s="46" t="s">
        <v>4463</v>
      </c>
      <c r="I1608" s="1" t="s">
        <v>4464</v>
      </c>
      <c r="J1608" s="46" t="s">
        <v>4465</v>
      </c>
      <c r="K1608" s="1" t="n">
        <f aca="false">IF(Search!$D$5="",0,IF(AND(OR(Search!$N$5="",ISNUMBER(SEARCH(Search!$N$5,J1608))),OR(Search!$N$6="",ISNUMBER(SEARCH(Search!$N$6,J1608))),OR(Search!$N$7="",ISNUMBER(SEARCH(Search!$N$7,J1608))),OR(Search!$N$8="",ISNUMBER(SEARCH(Search!$N$8,J1608)))),1,0))</f>
        <v>0</v>
      </c>
      <c r="L1608" s="1" t="n">
        <f aca="false">L1607+K1608</f>
        <v>0</v>
      </c>
    </row>
    <row r="1609" customFormat="false" ht="15" hidden="false" customHeight="true" outlineLevel="0" collapsed="false">
      <c r="A1609" s="1" t="s">
        <v>315</v>
      </c>
      <c r="B1609" s="1" t="s">
        <v>1221</v>
      </c>
      <c r="C1609" s="1" t="n">
        <v>45</v>
      </c>
      <c r="E1609" s="1" t="s">
        <v>4466</v>
      </c>
      <c r="F1609" s="1" t="s">
        <v>2717</v>
      </c>
      <c r="G1609" s="1" t="s">
        <v>3957</v>
      </c>
      <c r="H1609" s="1" t="s">
        <v>4467</v>
      </c>
      <c r="I1609" s="1" t="s">
        <v>1929</v>
      </c>
      <c r="J1609" s="1" t="s">
        <v>4468</v>
      </c>
      <c r="K1609" s="1" t="n">
        <f aca="false">IF(Search!$D$5="",0,IF(AND(OR(Search!$N$5="",ISNUMBER(SEARCH(Search!$N$5,J1609))),OR(Search!$N$6="",ISNUMBER(SEARCH(Search!$N$6,J1609))),OR(Search!$N$7="",ISNUMBER(SEARCH(Search!$N$7,J1609))),OR(Search!$N$8="",ISNUMBER(SEARCH(Search!$N$8,J1609)))),1,0))</f>
        <v>0</v>
      </c>
      <c r="L1609" s="1" t="n">
        <f aca="false">L1608+K1609</f>
        <v>0</v>
      </c>
    </row>
    <row r="1610" customFormat="false" ht="15" hidden="false" customHeight="true" outlineLevel="0" collapsed="false">
      <c r="A1610" s="1" t="s">
        <v>315</v>
      </c>
      <c r="B1610" s="1" t="s">
        <v>1221</v>
      </c>
      <c r="C1610" s="1" t="n">
        <v>46</v>
      </c>
      <c r="E1610" s="1" t="s">
        <v>4469</v>
      </c>
      <c r="F1610" s="1" t="s">
        <v>2717</v>
      </c>
      <c r="G1610" s="1" t="s">
        <v>4470</v>
      </c>
      <c r="H1610" s="1" t="s">
        <v>4471</v>
      </c>
      <c r="I1610" s="1" t="s">
        <v>1929</v>
      </c>
      <c r="J1610" s="1" t="s">
        <v>4472</v>
      </c>
      <c r="K1610" s="1" t="n">
        <f aca="false">IF(Search!$D$5="",0,IF(AND(OR(Search!$N$5="",ISNUMBER(SEARCH(Search!$N$5,J1610))),OR(Search!$N$6="",ISNUMBER(SEARCH(Search!$N$6,J1610))),OR(Search!$N$7="",ISNUMBER(SEARCH(Search!$N$7,J1610))),OR(Search!$N$8="",ISNUMBER(SEARCH(Search!$N$8,J1610)))),1,0))</f>
        <v>0</v>
      </c>
      <c r="L1610" s="1" t="n">
        <f aca="false">L1609+K1610</f>
        <v>0</v>
      </c>
    </row>
    <row r="1611" customFormat="false" ht="15" hidden="false" customHeight="true" outlineLevel="0" collapsed="false">
      <c r="A1611" s="1" t="s">
        <v>315</v>
      </c>
      <c r="B1611" s="1" t="s">
        <v>1221</v>
      </c>
      <c r="C1611" s="1" t="n">
        <v>49</v>
      </c>
      <c r="E1611" s="1" t="s">
        <v>4473</v>
      </c>
      <c r="J1611" s="1" t="s">
        <v>4473</v>
      </c>
      <c r="K1611" s="1" t="n">
        <f aca="false">IF(Search!$D$5="",0,IF(AND(OR(Search!$N$5="",ISNUMBER(SEARCH(Search!$N$5,J1611))),OR(Search!$N$6="",ISNUMBER(SEARCH(Search!$N$6,J1611))),OR(Search!$N$7="",ISNUMBER(SEARCH(Search!$N$7,J1611))),OR(Search!$N$8="",ISNUMBER(SEARCH(Search!$N$8,J1611)))),1,0))</f>
        <v>0</v>
      </c>
      <c r="L1611" s="1" t="n">
        <f aca="false">L1610+K1611</f>
        <v>0</v>
      </c>
    </row>
    <row r="1612" customFormat="false" ht="15" hidden="false" customHeight="true" outlineLevel="0" collapsed="false">
      <c r="A1612" s="1" t="s">
        <v>315</v>
      </c>
      <c r="B1612" s="1" t="s">
        <v>1221</v>
      </c>
      <c r="C1612" s="1" t="n">
        <v>50</v>
      </c>
      <c r="E1612" s="1" t="s">
        <v>1279</v>
      </c>
      <c r="J1612" s="1" t="s">
        <v>1279</v>
      </c>
      <c r="K1612" s="1" t="n">
        <f aca="false">IF(Search!$D$5="",0,IF(AND(OR(Search!$N$5="",ISNUMBER(SEARCH(Search!$N$5,J1612))),OR(Search!$N$6="",ISNUMBER(SEARCH(Search!$N$6,J1612))),OR(Search!$N$7="",ISNUMBER(SEARCH(Search!$N$7,J1612))),OR(Search!$N$8="",ISNUMBER(SEARCH(Search!$N$8,J1612)))),1,0))</f>
        <v>0</v>
      </c>
      <c r="L1612" s="1" t="n">
        <f aca="false">L1611+K1612</f>
        <v>0</v>
      </c>
    </row>
    <row r="1613" customFormat="false" ht="15" hidden="false" customHeight="true" outlineLevel="0" collapsed="false">
      <c r="A1613" s="1" t="s">
        <v>31</v>
      </c>
      <c r="B1613" s="1" t="s">
        <v>4474</v>
      </c>
      <c r="C1613" s="1" t="n">
        <v>2</v>
      </c>
      <c r="E1613" s="1" t="s">
        <v>4475</v>
      </c>
      <c r="J1613" s="1" t="s">
        <v>4475</v>
      </c>
      <c r="K1613" s="1" t="n">
        <f aca="false">IF(Search!$D$5="",0,IF(AND(OR(Search!$N$5="",ISNUMBER(SEARCH(Search!$N$5,J1613))),OR(Search!$N$6="",ISNUMBER(SEARCH(Search!$N$6,J1613))),OR(Search!$N$7="",ISNUMBER(SEARCH(Search!$N$7,J1613))),OR(Search!$N$8="",ISNUMBER(SEARCH(Search!$N$8,J1613)))),1,0))</f>
        <v>0</v>
      </c>
      <c r="L1613" s="1" t="n">
        <f aca="false">L1612+K1613</f>
        <v>0</v>
      </c>
    </row>
    <row r="1614" customFormat="false" ht="15" hidden="false" customHeight="true" outlineLevel="0" collapsed="false">
      <c r="A1614" s="1" t="s">
        <v>31</v>
      </c>
      <c r="B1614" s="1" t="s">
        <v>4474</v>
      </c>
      <c r="C1614" s="1" t="n">
        <v>3</v>
      </c>
      <c r="E1614" s="1" t="s">
        <v>4476</v>
      </c>
      <c r="J1614" s="1" t="s">
        <v>4476</v>
      </c>
      <c r="K1614" s="1" t="n">
        <f aca="false">IF(Search!$D$5="",0,IF(AND(OR(Search!$N$5="",ISNUMBER(SEARCH(Search!$N$5,J1614))),OR(Search!$N$6="",ISNUMBER(SEARCH(Search!$N$6,J1614))),OR(Search!$N$7="",ISNUMBER(SEARCH(Search!$N$7,J1614))),OR(Search!$N$8="",ISNUMBER(SEARCH(Search!$N$8,J1614)))),1,0))</f>
        <v>0</v>
      </c>
      <c r="L1614" s="1" t="n">
        <f aca="false">L1613+K1614</f>
        <v>0</v>
      </c>
    </row>
    <row r="1615" customFormat="false" ht="15" hidden="false" customHeight="true" outlineLevel="0" collapsed="false">
      <c r="A1615" s="1" t="s">
        <v>31</v>
      </c>
      <c r="B1615" s="1" t="s">
        <v>4474</v>
      </c>
      <c r="C1615" s="1" t="n">
        <v>5</v>
      </c>
      <c r="E1615" s="1" t="s">
        <v>4477</v>
      </c>
      <c r="F1615" s="1" t="s">
        <v>4478</v>
      </c>
      <c r="G1615" s="1" t="s">
        <v>4479</v>
      </c>
      <c r="H1615" s="1" t="s">
        <v>4480</v>
      </c>
      <c r="J1615" s="1" t="s">
        <v>4481</v>
      </c>
      <c r="K1615" s="1" t="n">
        <f aca="false">IF(Search!$D$5="",0,IF(AND(OR(Search!$N$5="",ISNUMBER(SEARCH(Search!$N$5,J1615))),OR(Search!$N$6="",ISNUMBER(SEARCH(Search!$N$6,J1615))),OR(Search!$N$7="",ISNUMBER(SEARCH(Search!$N$7,J1615))),OR(Search!$N$8="",ISNUMBER(SEARCH(Search!$N$8,J1615)))),1,0))</f>
        <v>0</v>
      </c>
      <c r="L1615" s="1" t="n">
        <f aca="false">L1614+K1615</f>
        <v>0</v>
      </c>
    </row>
    <row r="1616" customFormat="false" ht="15" hidden="false" customHeight="true" outlineLevel="0" collapsed="false">
      <c r="A1616" s="1" t="s">
        <v>31</v>
      </c>
      <c r="B1616" s="1" t="s">
        <v>4474</v>
      </c>
      <c r="C1616" s="1" t="n">
        <v>6</v>
      </c>
      <c r="E1616" s="1" t="s">
        <v>4482</v>
      </c>
      <c r="F1616" s="1" t="s">
        <v>4483</v>
      </c>
      <c r="G1616" s="1" t="s">
        <v>4484</v>
      </c>
      <c r="H1616" s="1" t="s">
        <v>300</v>
      </c>
      <c r="J1616" s="1" t="s">
        <v>4485</v>
      </c>
      <c r="K1616" s="1" t="n">
        <f aca="false">IF(Search!$D$5="",0,IF(AND(OR(Search!$N$5="",ISNUMBER(SEARCH(Search!$N$5,J1616))),OR(Search!$N$6="",ISNUMBER(SEARCH(Search!$N$6,J1616))),OR(Search!$N$7="",ISNUMBER(SEARCH(Search!$N$7,J1616))),OR(Search!$N$8="",ISNUMBER(SEARCH(Search!$N$8,J1616)))),1,0))</f>
        <v>0</v>
      </c>
      <c r="L1616" s="1" t="n">
        <f aca="false">L1615+K1616</f>
        <v>0</v>
      </c>
    </row>
    <row r="1617" customFormat="false" ht="15" hidden="false" customHeight="true" outlineLevel="0" collapsed="false">
      <c r="A1617" s="1" t="s">
        <v>31</v>
      </c>
      <c r="B1617" s="1" t="s">
        <v>4474</v>
      </c>
      <c r="C1617" s="1" t="n">
        <v>7</v>
      </c>
      <c r="E1617" s="1" t="s">
        <v>4486</v>
      </c>
      <c r="F1617" s="1" t="s">
        <v>4487</v>
      </c>
      <c r="G1617" s="1" t="s">
        <v>4488</v>
      </c>
      <c r="H1617" s="1" t="s">
        <v>303</v>
      </c>
      <c r="J1617" s="1" t="s">
        <v>4489</v>
      </c>
      <c r="K1617" s="1" t="n">
        <f aca="false">IF(Search!$D$5="",0,IF(AND(OR(Search!$N$5="",ISNUMBER(SEARCH(Search!$N$5,J1617))),OR(Search!$N$6="",ISNUMBER(SEARCH(Search!$N$6,J1617))),OR(Search!$N$7="",ISNUMBER(SEARCH(Search!$N$7,J1617))),OR(Search!$N$8="",ISNUMBER(SEARCH(Search!$N$8,J1617)))),1,0))</f>
        <v>0</v>
      </c>
      <c r="L1617" s="1" t="n">
        <f aca="false">L1616+K1617</f>
        <v>0</v>
      </c>
    </row>
    <row r="1618" customFormat="false" ht="15" hidden="false" customHeight="true" outlineLevel="0" collapsed="false">
      <c r="A1618" s="1" t="s">
        <v>31</v>
      </c>
      <c r="B1618" s="1" t="s">
        <v>4474</v>
      </c>
      <c r="C1618" s="1" t="n">
        <v>8</v>
      </c>
      <c r="E1618" s="1" t="s">
        <v>276</v>
      </c>
      <c r="F1618" s="1" t="s">
        <v>4490</v>
      </c>
      <c r="G1618" s="1" t="s">
        <v>4491</v>
      </c>
      <c r="H1618" s="1" t="s">
        <v>276</v>
      </c>
      <c r="J1618" s="1" t="s">
        <v>4492</v>
      </c>
      <c r="K1618" s="1" t="n">
        <f aca="false">IF(Search!$D$5="",0,IF(AND(OR(Search!$N$5="",ISNUMBER(SEARCH(Search!$N$5,J1618))),OR(Search!$N$6="",ISNUMBER(SEARCH(Search!$N$6,J1618))),OR(Search!$N$7="",ISNUMBER(SEARCH(Search!$N$7,J1618))),OR(Search!$N$8="",ISNUMBER(SEARCH(Search!$N$8,J1618)))),1,0))</f>
        <v>0</v>
      </c>
      <c r="L1618" s="1" t="n">
        <f aca="false">L1617+K1618</f>
        <v>0</v>
      </c>
    </row>
    <row r="1619" customFormat="false" ht="15" hidden="false" customHeight="true" outlineLevel="0" collapsed="false">
      <c r="A1619" s="1" t="s">
        <v>31</v>
      </c>
      <c r="B1619" s="1" t="s">
        <v>4474</v>
      </c>
      <c r="C1619" s="1" t="n">
        <v>9</v>
      </c>
      <c r="E1619" s="1" t="s">
        <v>279</v>
      </c>
      <c r="F1619" s="1" t="s">
        <v>4493</v>
      </c>
      <c r="G1619" s="1" t="s">
        <v>4494</v>
      </c>
      <c r="H1619" s="1" t="s">
        <v>279</v>
      </c>
      <c r="J1619" s="1" t="s">
        <v>4495</v>
      </c>
      <c r="K1619" s="1" t="n">
        <f aca="false">IF(Search!$D$5="",0,IF(AND(OR(Search!$N$5="",ISNUMBER(SEARCH(Search!$N$5,J1619))),OR(Search!$N$6="",ISNUMBER(SEARCH(Search!$N$6,J1619))),OR(Search!$N$7="",ISNUMBER(SEARCH(Search!$N$7,J1619))),OR(Search!$N$8="",ISNUMBER(SEARCH(Search!$N$8,J1619)))),1,0))</f>
        <v>0</v>
      </c>
      <c r="L1619" s="1" t="n">
        <f aca="false">L1618+K1619</f>
        <v>0</v>
      </c>
    </row>
    <row r="1620" customFormat="false" ht="15" hidden="false" customHeight="true" outlineLevel="0" collapsed="false">
      <c r="A1620" s="1" t="s">
        <v>31</v>
      </c>
      <c r="B1620" s="1" t="s">
        <v>4474</v>
      </c>
      <c r="C1620" s="1" t="n">
        <v>10</v>
      </c>
      <c r="E1620" s="1" t="s">
        <v>273</v>
      </c>
      <c r="F1620" s="1" t="s">
        <v>4496</v>
      </c>
      <c r="G1620" s="1" t="s">
        <v>4497</v>
      </c>
      <c r="H1620" s="1" t="s">
        <v>273</v>
      </c>
      <c r="J1620" s="1" t="s">
        <v>4498</v>
      </c>
      <c r="K1620" s="1" t="n">
        <f aca="false">IF(Search!$D$5="",0,IF(AND(OR(Search!$N$5="",ISNUMBER(SEARCH(Search!$N$5,J1620))),OR(Search!$N$6="",ISNUMBER(SEARCH(Search!$N$6,J1620))),OR(Search!$N$7="",ISNUMBER(SEARCH(Search!$N$7,J1620))),OR(Search!$N$8="",ISNUMBER(SEARCH(Search!$N$8,J1620)))),1,0))</f>
        <v>0</v>
      </c>
      <c r="L1620" s="1" t="n">
        <f aca="false">L1619+K1620</f>
        <v>0</v>
      </c>
    </row>
    <row r="1621" customFormat="false" ht="15" hidden="false" customHeight="true" outlineLevel="0" collapsed="false">
      <c r="A1621" s="1" t="s">
        <v>31</v>
      </c>
      <c r="B1621" s="1" t="s">
        <v>4474</v>
      </c>
      <c r="C1621" s="1" t="n">
        <v>11</v>
      </c>
      <c r="E1621" s="1" t="s">
        <v>288</v>
      </c>
      <c r="F1621" s="1" t="s">
        <v>4499</v>
      </c>
      <c r="G1621" s="1" t="s">
        <v>4500</v>
      </c>
      <c r="H1621" s="1" t="s">
        <v>288</v>
      </c>
      <c r="J1621" s="1" t="s">
        <v>4501</v>
      </c>
      <c r="K1621" s="1" t="n">
        <f aca="false">IF(Search!$D$5="",0,IF(AND(OR(Search!$N$5="",ISNUMBER(SEARCH(Search!$N$5,J1621))),OR(Search!$N$6="",ISNUMBER(SEARCH(Search!$N$6,J1621))),OR(Search!$N$7="",ISNUMBER(SEARCH(Search!$N$7,J1621))),OR(Search!$N$8="",ISNUMBER(SEARCH(Search!$N$8,J1621)))),1,0))</f>
        <v>0</v>
      </c>
      <c r="L1621" s="1" t="n">
        <f aca="false">L1620+K1621</f>
        <v>0</v>
      </c>
    </row>
    <row r="1622" customFormat="false" ht="15" hidden="false" customHeight="true" outlineLevel="0" collapsed="false">
      <c r="A1622" s="1" t="s">
        <v>31</v>
      </c>
      <c r="B1622" s="1" t="s">
        <v>4474</v>
      </c>
      <c r="C1622" s="1" t="n">
        <v>12</v>
      </c>
      <c r="E1622" s="1" t="s">
        <v>294</v>
      </c>
      <c r="F1622" s="1" t="s">
        <v>4502</v>
      </c>
      <c r="G1622" s="1" t="s">
        <v>4503</v>
      </c>
      <c r="H1622" s="1" t="s">
        <v>294</v>
      </c>
      <c r="J1622" s="1" t="s">
        <v>4504</v>
      </c>
      <c r="K1622" s="1" t="n">
        <f aca="false">IF(Search!$D$5="",0,IF(AND(OR(Search!$N$5="",ISNUMBER(SEARCH(Search!$N$5,J1622))),OR(Search!$N$6="",ISNUMBER(SEARCH(Search!$N$6,J1622))),OR(Search!$N$7="",ISNUMBER(SEARCH(Search!$N$7,J1622))),OR(Search!$N$8="",ISNUMBER(SEARCH(Search!$N$8,J1622)))),1,0))</f>
        <v>0</v>
      </c>
      <c r="L1622" s="1" t="n">
        <f aca="false">L1621+K1622</f>
        <v>0</v>
      </c>
    </row>
    <row r="1623" customFormat="false" ht="15" hidden="false" customHeight="true" outlineLevel="0" collapsed="false">
      <c r="A1623" s="1" t="s">
        <v>31</v>
      </c>
      <c r="B1623" s="1" t="s">
        <v>4474</v>
      </c>
      <c r="C1623" s="1" t="n">
        <v>13</v>
      </c>
      <c r="E1623" s="1" t="s">
        <v>258</v>
      </c>
      <c r="F1623" s="1" t="s">
        <v>4505</v>
      </c>
      <c r="G1623" s="1" t="s">
        <v>4506</v>
      </c>
      <c r="H1623" s="1" t="s">
        <v>258</v>
      </c>
      <c r="J1623" s="1" t="s">
        <v>4507</v>
      </c>
      <c r="K1623" s="1" t="n">
        <f aca="false">IF(Search!$D$5="",0,IF(AND(OR(Search!$N$5="",ISNUMBER(SEARCH(Search!$N$5,J1623))),OR(Search!$N$6="",ISNUMBER(SEARCH(Search!$N$6,J1623))),OR(Search!$N$7="",ISNUMBER(SEARCH(Search!$N$7,J1623))),OR(Search!$N$8="",ISNUMBER(SEARCH(Search!$N$8,J1623)))),1,0))</f>
        <v>0</v>
      </c>
      <c r="L1623" s="1" t="n">
        <f aca="false">L1622+K1623</f>
        <v>0</v>
      </c>
    </row>
    <row r="1624" customFormat="false" ht="15" hidden="false" customHeight="true" outlineLevel="0" collapsed="false">
      <c r="A1624" s="1" t="s">
        <v>31</v>
      </c>
      <c r="B1624" s="1" t="s">
        <v>4474</v>
      </c>
      <c r="C1624" s="1" t="n">
        <v>14</v>
      </c>
      <c r="E1624" s="1" t="s">
        <v>261</v>
      </c>
      <c r="F1624" s="1" t="s">
        <v>4508</v>
      </c>
      <c r="G1624" s="1" t="s">
        <v>4506</v>
      </c>
      <c r="H1624" s="1" t="s">
        <v>261</v>
      </c>
      <c r="J1624" s="1" t="s">
        <v>4509</v>
      </c>
      <c r="K1624" s="1" t="n">
        <f aca="false">IF(Search!$D$5="",0,IF(AND(OR(Search!$N$5="",ISNUMBER(SEARCH(Search!$N$5,J1624))),OR(Search!$N$6="",ISNUMBER(SEARCH(Search!$N$6,J1624))),OR(Search!$N$7="",ISNUMBER(SEARCH(Search!$N$7,J1624))),OR(Search!$N$8="",ISNUMBER(SEARCH(Search!$N$8,J1624)))),1,0))</f>
        <v>0</v>
      </c>
      <c r="L1624" s="1" t="n">
        <f aca="false">L1623+K1624</f>
        <v>0</v>
      </c>
    </row>
    <row r="1625" customFormat="false" ht="15" hidden="false" customHeight="true" outlineLevel="0" collapsed="false">
      <c r="A1625" s="1" t="s">
        <v>31</v>
      </c>
      <c r="B1625" s="1" t="s">
        <v>4474</v>
      </c>
      <c r="C1625" s="1" t="n">
        <v>15</v>
      </c>
      <c r="E1625" s="1" t="s">
        <v>267</v>
      </c>
      <c r="F1625" s="1" t="s">
        <v>4510</v>
      </c>
      <c r="G1625" s="1" t="s">
        <v>4506</v>
      </c>
      <c r="H1625" s="1" t="s">
        <v>267</v>
      </c>
      <c r="J1625" s="1" t="s">
        <v>4511</v>
      </c>
      <c r="K1625" s="1" t="n">
        <f aca="false">IF(Search!$D$5="",0,IF(AND(OR(Search!$N$5="",ISNUMBER(SEARCH(Search!$N$5,J1625))),OR(Search!$N$6="",ISNUMBER(SEARCH(Search!$N$6,J1625))),OR(Search!$N$7="",ISNUMBER(SEARCH(Search!$N$7,J1625))),OR(Search!$N$8="",ISNUMBER(SEARCH(Search!$N$8,J1625)))),1,0))</f>
        <v>0</v>
      </c>
      <c r="L1625" s="1" t="n">
        <f aca="false">L1624+K1625</f>
        <v>0</v>
      </c>
    </row>
    <row r="1626" customFormat="false" ht="15" hidden="false" customHeight="true" outlineLevel="0" collapsed="false">
      <c r="A1626" s="1" t="s">
        <v>31</v>
      </c>
      <c r="B1626" s="1" t="s">
        <v>4474</v>
      </c>
      <c r="C1626" s="1" t="n">
        <v>18</v>
      </c>
      <c r="E1626" s="1" t="s">
        <v>4512</v>
      </c>
      <c r="J1626" s="1" t="s">
        <v>4512</v>
      </c>
      <c r="K1626" s="1" t="n">
        <f aca="false">IF(Search!$D$5="",0,IF(AND(OR(Search!$N$5="",ISNUMBER(SEARCH(Search!$N$5,J1626))),OR(Search!$N$6="",ISNUMBER(SEARCH(Search!$N$6,J1626))),OR(Search!$N$7="",ISNUMBER(SEARCH(Search!$N$7,J1626))),OR(Search!$N$8="",ISNUMBER(SEARCH(Search!$N$8,J1626)))),1,0))</f>
        <v>0</v>
      </c>
      <c r="L1626" s="1" t="n">
        <f aca="false">L1625+K1626</f>
        <v>0</v>
      </c>
    </row>
    <row r="1627" customFormat="false" ht="54.75" hidden="false" customHeight="true" outlineLevel="0" collapsed="false">
      <c r="A1627" s="1" t="s">
        <v>31</v>
      </c>
      <c r="B1627" s="1" t="s">
        <v>4474</v>
      </c>
      <c r="C1627" s="1" t="n">
        <v>19</v>
      </c>
      <c r="E1627" s="1" t="s">
        <v>4513</v>
      </c>
      <c r="F1627" s="1" t="s">
        <v>4514</v>
      </c>
      <c r="G1627" s="46" t="s">
        <v>1808</v>
      </c>
      <c r="H1627" s="46" t="s">
        <v>4515</v>
      </c>
      <c r="I1627" s="46" t="s">
        <v>4516</v>
      </c>
      <c r="J1627" s="46" t="s">
        <v>4517</v>
      </c>
      <c r="K1627" s="1" t="n">
        <f aca="false">IF(Search!$D$5="",0,IF(AND(OR(Search!$N$5="",ISNUMBER(SEARCH(Search!$N$5,J1627))),OR(Search!$N$6="",ISNUMBER(SEARCH(Search!$N$6,J1627))),OR(Search!$N$7="",ISNUMBER(SEARCH(Search!$N$7,J1627))),OR(Search!$N$8="",ISNUMBER(SEARCH(Search!$N$8,J1627)))),1,0))</f>
        <v>0</v>
      </c>
      <c r="L1627" s="1" t="n">
        <f aca="false">L1626+K1627</f>
        <v>0</v>
      </c>
    </row>
    <row r="1628" customFormat="false" ht="15" hidden="false" customHeight="true" outlineLevel="0" collapsed="false">
      <c r="A1628" s="1" t="s">
        <v>31</v>
      </c>
      <c r="B1628" s="1" t="s">
        <v>4474</v>
      </c>
      <c r="C1628" s="1" t="n">
        <v>20</v>
      </c>
      <c r="E1628" s="1" t="s">
        <v>1045</v>
      </c>
      <c r="J1628" s="1" t="s">
        <v>1045</v>
      </c>
      <c r="K1628" s="1" t="n">
        <f aca="false">IF(Search!$D$5="",0,IF(AND(OR(Search!$N$5="",ISNUMBER(SEARCH(Search!$N$5,J1628))),OR(Search!$N$6="",ISNUMBER(SEARCH(Search!$N$6,J1628))),OR(Search!$N$7="",ISNUMBER(SEARCH(Search!$N$7,J1628))),OR(Search!$N$8="",ISNUMBER(SEARCH(Search!$N$8,J1628)))),1,0))</f>
        <v>0</v>
      </c>
      <c r="L1628" s="1" t="n">
        <f aca="false">L1627+K1628</f>
        <v>0</v>
      </c>
    </row>
    <row r="1629" customFormat="false" ht="15" hidden="false" customHeight="true" outlineLevel="0" collapsed="false">
      <c r="A1629" s="1" t="s">
        <v>31</v>
      </c>
      <c r="B1629" s="1" t="s">
        <v>4474</v>
      </c>
      <c r="C1629" s="1" t="n">
        <v>21</v>
      </c>
      <c r="E1629" s="1" t="s">
        <v>2543</v>
      </c>
      <c r="J1629" s="1" t="s">
        <v>2543</v>
      </c>
      <c r="K1629" s="1" t="n">
        <f aca="false">IF(Search!$D$5="",0,IF(AND(OR(Search!$N$5="",ISNUMBER(SEARCH(Search!$N$5,J1629))),OR(Search!$N$6="",ISNUMBER(SEARCH(Search!$N$6,J1629))),OR(Search!$N$7="",ISNUMBER(SEARCH(Search!$N$7,J1629))),OR(Search!$N$8="",ISNUMBER(SEARCH(Search!$N$8,J1629)))),1,0))</f>
        <v>0</v>
      </c>
      <c r="L1629" s="1" t="n">
        <f aca="false">L1628+K1629</f>
        <v>0</v>
      </c>
    </row>
    <row r="1630" customFormat="false" ht="15" hidden="false" customHeight="true" outlineLevel="0" collapsed="false">
      <c r="A1630" s="1" t="s">
        <v>31</v>
      </c>
      <c r="B1630" s="1" t="s">
        <v>4474</v>
      </c>
      <c r="C1630" s="1" t="n">
        <v>22</v>
      </c>
      <c r="E1630" s="1" t="s">
        <v>987</v>
      </c>
      <c r="J1630" s="1" t="s">
        <v>987</v>
      </c>
      <c r="K1630" s="1" t="n">
        <f aca="false">IF(Search!$D$5="",0,IF(AND(OR(Search!$N$5="",ISNUMBER(SEARCH(Search!$N$5,J1630))),OR(Search!$N$6="",ISNUMBER(SEARCH(Search!$N$6,J1630))),OR(Search!$N$7="",ISNUMBER(SEARCH(Search!$N$7,J1630))),OR(Search!$N$8="",ISNUMBER(SEARCH(Search!$N$8,J1630)))),1,0))</f>
        <v>0</v>
      </c>
      <c r="L1630" s="1" t="n">
        <f aca="false">L1629+K1630</f>
        <v>0</v>
      </c>
    </row>
    <row r="1631" customFormat="false" ht="15" hidden="false" customHeight="true" outlineLevel="0" collapsed="false">
      <c r="A1631" s="1" t="s">
        <v>31</v>
      </c>
      <c r="B1631" s="1" t="s">
        <v>4474</v>
      </c>
      <c r="C1631" s="1" t="n">
        <v>23</v>
      </c>
      <c r="E1631" s="1" t="s">
        <v>1830</v>
      </c>
      <c r="J1631" s="1" t="s">
        <v>1830</v>
      </c>
      <c r="K1631" s="1" t="n">
        <f aca="false">IF(Search!$D$5="",0,IF(AND(OR(Search!$N$5="",ISNUMBER(SEARCH(Search!$N$5,J1631))),OR(Search!$N$6="",ISNUMBER(SEARCH(Search!$N$6,J1631))),OR(Search!$N$7="",ISNUMBER(SEARCH(Search!$N$7,J1631))),OR(Search!$N$8="",ISNUMBER(SEARCH(Search!$N$8,J1631)))),1,0))</f>
        <v>0</v>
      </c>
      <c r="L1631" s="1" t="n">
        <f aca="false">L1630+K1631</f>
        <v>0</v>
      </c>
    </row>
    <row r="1632" customFormat="false" ht="15" hidden="false" customHeight="true" outlineLevel="0" collapsed="false">
      <c r="A1632" s="1" t="s">
        <v>31</v>
      </c>
      <c r="B1632" s="1" t="s">
        <v>4474</v>
      </c>
      <c r="C1632" s="1" t="n">
        <v>24</v>
      </c>
      <c r="E1632" s="1" t="s">
        <v>1834</v>
      </c>
      <c r="J1632" s="1" t="s">
        <v>1834</v>
      </c>
      <c r="K1632" s="1" t="n">
        <f aca="false">IF(Search!$D$5="",0,IF(AND(OR(Search!$N$5="",ISNUMBER(SEARCH(Search!$N$5,J1632))),OR(Search!$N$6="",ISNUMBER(SEARCH(Search!$N$6,J1632))),OR(Search!$N$7="",ISNUMBER(SEARCH(Search!$N$7,J1632))),OR(Search!$N$8="",ISNUMBER(SEARCH(Search!$N$8,J1632)))),1,0))</f>
        <v>0</v>
      </c>
      <c r="L1632" s="1" t="n">
        <f aca="false">L1631+K1632</f>
        <v>0</v>
      </c>
    </row>
    <row r="1633" customFormat="false" ht="15" hidden="false" customHeight="true" outlineLevel="0" collapsed="false">
      <c r="A1633" s="1" t="s">
        <v>31</v>
      </c>
      <c r="B1633" s="1" t="s">
        <v>4474</v>
      </c>
      <c r="C1633" s="1" t="n">
        <v>25</v>
      </c>
      <c r="E1633" s="1" t="s">
        <v>1838</v>
      </c>
      <c r="J1633" s="1" t="s">
        <v>1838</v>
      </c>
      <c r="K1633" s="1" t="n">
        <f aca="false">IF(Search!$D$5="",0,IF(AND(OR(Search!$N$5="",ISNUMBER(SEARCH(Search!$N$5,J1633))),OR(Search!$N$6="",ISNUMBER(SEARCH(Search!$N$6,J1633))),OR(Search!$N$7="",ISNUMBER(SEARCH(Search!$N$7,J1633))),OR(Search!$N$8="",ISNUMBER(SEARCH(Search!$N$8,J1633)))),1,0))</f>
        <v>0</v>
      </c>
      <c r="L1633" s="1" t="n">
        <f aca="false">L1632+K1633</f>
        <v>0</v>
      </c>
    </row>
    <row r="1634" customFormat="false" ht="15" hidden="false" customHeight="true" outlineLevel="0" collapsed="false">
      <c r="A1634" s="1" t="s">
        <v>31</v>
      </c>
      <c r="B1634" s="1" t="s">
        <v>4474</v>
      </c>
      <c r="C1634" s="1" t="n">
        <v>26</v>
      </c>
      <c r="E1634" s="1" t="s">
        <v>1943</v>
      </c>
      <c r="J1634" s="1" t="s">
        <v>1943</v>
      </c>
      <c r="K1634" s="1" t="n">
        <f aca="false">IF(Search!$D$5="",0,IF(AND(OR(Search!$N$5="",ISNUMBER(SEARCH(Search!$N$5,J1634))),OR(Search!$N$6="",ISNUMBER(SEARCH(Search!$N$6,J1634))),OR(Search!$N$7="",ISNUMBER(SEARCH(Search!$N$7,J1634))),OR(Search!$N$8="",ISNUMBER(SEARCH(Search!$N$8,J1634)))),1,0))</f>
        <v>0</v>
      </c>
      <c r="L1634" s="1" t="n">
        <f aca="false">L1633+K1634</f>
        <v>0</v>
      </c>
    </row>
    <row r="1635" customFormat="false" ht="15" hidden="false" customHeight="true" outlineLevel="0" collapsed="false">
      <c r="A1635" s="1" t="s">
        <v>31</v>
      </c>
      <c r="B1635" s="1" t="s">
        <v>4474</v>
      </c>
      <c r="C1635" s="1" t="n">
        <v>27</v>
      </c>
      <c r="E1635" s="1" t="s">
        <v>1904</v>
      </c>
      <c r="J1635" s="1" t="s">
        <v>1904</v>
      </c>
      <c r="K1635" s="1" t="n">
        <f aca="false">IF(Search!$D$5="",0,IF(AND(OR(Search!$N$5="",ISNUMBER(SEARCH(Search!$N$5,J1635))),OR(Search!$N$6="",ISNUMBER(SEARCH(Search!$N$6,J1635))),OR(Search!$N$7="",ISNUMBER(SEARCH(Search!$N$7,J1635))),OR(Search!$N$8="",ISNUMBER(SEARCH(Search!$N$8,J1635)))),1,0))</f>
        <v>0</v>
      </c>
      <c r="L1635" s="1" t="n">
        <f aca="false">L1634+K1635</f>
        <v>0</v>
      </c>
    </row>
    <row r="1636" customFormat="false" ht="15" hidden="false" customHeight="true" outlineLevel="0" collapsed="false">
      <c r="A1636" s="1" t="s">
        <v>31</v>
      </c>
      <c r="B1636" s="1" t="s">
        <v>4474</v>
      </c>
      <c r="C1636" s="1" t="n">
        <v>28</v>
      </c>
      <c r="E1636" s="1" t="s">
        <v>1929</v>
      </c>
      <c r="J1636" s="1" t="s">
        <v>1929</v>
      </c>
      <c r="K1636" s="1" t="n">
        <f aca="false">IF(Search!$D$5="",0,IF(AND(OR(Search!$N$5="",ISNUMBER(SEARCH(Search!$N$5,J1636))),OR(Search!$N$6="",ISNUMBER(SEARCH(Search!$N$6,J1636))),OR(Search!$N$7="",ISNUMBER(SEARCH(Search!$N$7,J1636))),OR(Search!$N$8="",ISNUMBER(SEARCH(Search!$N$8,J1636)))),1,0))</f>
        <v>0</v>
      </c>
      <c r="L1636" s="1" t="n">
        <f aca="false">L1635+K1636</f>
        <v>0</v>
      </c>
    </row>
    <row r="1637" customFormat="false" ht="15" hidden="false" customHeight="true" outlineLevel="0" collapsed="false">
      <c r="A1637" s="1" t="s">
        <v>31</v>
      </c>
      <c r="B1637" s="1" t="s">
        <v>4474</v>
      </c>
      <c r="C1637" s="1" t="n">
        <v>29</v>
      </c>
      <c r="E1637" s="1" t="s">
        <v>1975</v>
      </c>
      <c r="J1637" s="1" t="s">
        <v>1975</v>
      </c>
      <c r="K1637" s="1" t="n">
        <f aca="false">IF(Search!$D$5="",0,IF(AND(OR(Search!$N$5="",ISNUMBER(SEARCH(Search!$N$5,J1637))),OR(Search!$N$6="",ISNUMBER(SEARCH(Search!$N$6,J1637))),OR(Search!$N$7="",ISNUMBER(SEARCH(Search!$N$7,J1637))),OR(Search!$N$8="",ISNUMBER(SEARCH(Search!$N$8,J1637)))),1,0))</f>
        <v>0</v>
      </c>
      <c r="L1637" s="1" t="n">
        <f aca="false">L1636+K1637</f>
        <v>0</v>
      </c>
    </row>
    <row r="1638" customFormat="false" ht="15" hidden="false" customHeight="true" outlineLevel="0" collapsed="false">
      <c r="A1638" s="1" t="s">
        <v>31</v>
      </c>
      <c r="B1638" s="1" t="s">
        <v>4474</v>
      </c>
      <c r="C1638" s="1" t="n">
        <v>30</v>
      </c>
      <c r="E1638" s="1" t="s">
        <v>2115</v>
      </c>
      <c r="J1638" s="1" t="s">
        <v>2115</v>
      </c>
      <c r="K1638" s="1" t="n">
        <f aca="false">IF(Search!$D$5="",0,IF(AND(OR(Search!$N$5="",ISNUMBER(SEARCH(Search!$N$5,J1638))),OR(Search!$N$6="",ISNUMBER(SEARCH(Search!$N$6,J1638))),OR(Search!$N$7="",ISNUMBER(SEARCH(Search!$N$7,J1638))),OR(Search!$N$8="",ISNUMBER(SEARCH(Search!$N$8,J1638)))),1,0))</f>
        <v>0</v>
      </c>
      <c r="L1638" s="1" t="n">
        <f aca="false">L1637+K1638</f>
        <v>0</v>
      </c>
    </row>
    <row r="1639" customFormat="false" ht="15" hidden="false" customHeight="true" outlineLevel="0" collapsed="false">
      <c r="A1639" s="1" t="s">
        <v>31</v>
      </c>
      <c r="B1639" s="1" t="s">
        <v>4474</v>
      </c>
      <c r="C1639" s="1" t="n">
        <v>31</v>
      </c>
      <c r="E1639" s="1" t="s">
        <v>627</v>
      </c>
      <c r="J1639" s="1" t="s">
        <v>627</v>
      </c>
      <c r="K1639" s="1" t="n">
        <f aca="false">IF(Search!$D$5="",0,IF(AND(OR(Search!$N$5="",ISNUMBER(SEARCH(Search!$N$5,J1639))),OR(Search!$N$6="",ISNUMBER(SEARCH(Search!$N$6,J1639))),OR(Search!$N$7="",ISNUMBER(SEARCH(Search!$N$7,J1639))),OR(Search!$N$8="",ISNUMBER(SEARCH(Search!$N$8,J1639)))),1,0))</f>
        <v>0</v>
      </c>
      <c r="L1639" s="1" t="n">
        <f aca="false">L1638+K1639</f>
        <v>0</v>
      </c>
    </row>
    <row r="1640" customFormat="false" ht="15" hidden="false" customHeight="true" outlineLevel="0" collapsed="false">
      <c r="A1640" s="1" t="s">
        <v>31</v>
      </c>
      <c r="B1640" s="1" t="s">
        <v>4474</v>
      </c>
      <c r="C1640" s="1" t="n">
        <v>32</v>
      </c>
      <c r="E1640" s="1" t="s">
        <v>2015</v>
      </c>
      <c r="J1640" s="1" t="s">
        <v>2015</v>
      </c>
      <c r="K1640" s="1" t="n">
        <f aca="false">IF(Search!$D$5="",0,IF(AND(OR(Search!$N$5="",ISNUMBER(SEARCH(Search!$N$5,J1640))),OR(Search!$N$6="",ISNUMBER(SEARCH(Search!$N$6,J1640))),OR(Search!$N$7="",ISNUMBER(SEARCH(Search!$N$7,J1640))),OR(Search!$N$8="",ISNUMBER(SEARCH(Search!$N$8,J1640)))),1,0))</f>
        <v>0</v>
      </c>
      <c r="L1640" s="1" t="n">
        <f aca="false">L1639+K1640</f>
        <v>0</v>
      </c>
    </row>
    <row r="1641" customFormat="false" ht="15" hidden="false" customHeight="true" outlineLevel="0" collapsed="false">
      <c r="A1641" s="1" t="s">
        <v>31</v>
      </c>
      <c r="B1641" s="1" t="s">
        <v>4474</v>
      </c>
      <c r="C1641" s="1" t="n">
        <v>33</v>
      </c>
      <c r="E1641" s="1" t="s">
        <v>2746</v>
      </c>
      <c r="J1641" s="1" t="s">
        <v>2746</v>
      </c>
      <c r="K1641" s="1" t="n">
        <f aca="false">IF(Search!$D$5="",0,IF(AND(OR(Search!$N$5="",ISNUMBER(SEARCH(Search!$N$5,J1641))),OR(Search!$N$6="",ISNUMBER(SEARCH(Search!$N$6,J1641))),OR(Search!$N$7="",ISNUMBER(SEARCH(Search!$N$7,J1641))),OR(Search!$N$8="",ISNUMBER(SEARCH(Search!$N$8,J1641)))),1,0))</f>
        <v>0</v>
      </c>
      <c r="L1641" s="1" t="n">
        <f aca="false">L1640+K1641</f>
        <v>0</v>
      </c>
    </row>
    <row r="1642" customFormat="false" ht="15" hidden="false" customHeight="true" outlineLevel="0" collapsed="false">
      <c r="A1642" s="1" t="s">
        <v>31</v>
      </c>
      <c r="B1642" s="1" t="s">
        <v>4474</v>
      </c>
      <c r="C1642" s="1" t="n">
        <v>34</v>
      </c>
      <c r="E1642" s="1" t="s">
        <v>2061</v>
      </c>
      <c r="J1642" s="1" t="s">
        <v>2061</v>
      </c>
      <c r="K1642" s="1" t="n">
        <f aca="false">IF(Search!$D$5="",0,IF(AND(OR(Search!$N$5="",ISNUMBER(SEARCH(Search!$N$5,J1642))),OR(Search!$N$6="",ISNUMBER(SEARCH(Search!$N$6,J1642))),OR(Search!$N$7="",ISNUMBER(SEARCH(Search!$N$7,J1642))),OR(Search!$N$8="",ISNUMBER(SEARCH(Search!$N$8,J1642)))),1,0))</f>
        <v>0</v>
      </c>
      <c r="L1642" s="1" t="n">
        <f aca="false">L1641+K1642</f>
        <v>0</v>
      </c>
    </row>
    <row r="1643" customFormat="false" ht="15" hidden="false" customHeight="true" outlineLevel="0" collapsed="false">
      <c r="A1643" s="1" t="s">
        <v>31</v>
      </c>
      <c r="B1643" s="1" t="s">
        <v>4474</v>
      </c>
      <c r="C1643" s="1" t="n">
        <v>35</v>
      </c>
      <c r="E1643" s="1" t="s">
        <v>2081</v>
      </c>
      <c r="J1643" s="1" t="s">
        <v>2081</v>
      </c>
      <c r="K1643" s="1" t="n">
        <f aca="false">IF(Search!$D$5="",0,IF(AND(OR(Search!$N$5="",ISNUMBER(SEARCH(Search!$N$5,J1643))),OR(Search!$N$6="",ISNUMBER(SEARCH(Search!$N$6,J1643))),OR(Search!$N$7="",ISNUMBER(SEARCH(Search!$N$7,J1643))),OR(Search!$N$8="",ISNUMBER(SEARCH(Search!$N$8,J1643)))),1,0))</f>
        <v>0</v>
      </c>
      <c r="L1643" s="1" t="n">
        <f aca="false">L1642+K1643</f>
        <v>0</v>
      </c>
    </row>
    <row r="1644" customFormat="false" ht="15" hidden="false" customHeight="true" outlineLevel="0" collapsed="false">
      <c r="A1644" s="1" t="s">
        <v>31</v>
      </c>
      <c r="B1644" s="1" t="s">
        <v>4474</v>
      </c>
      <c r="C1644" s="1" t="n">
        <v>36</v>
      </c>
      <c r="E1644" s="1" t="s">
        <v>588</v>
      </c>
      <c r="J1644" s="1" t="s">
        <v>588</v>
      </c>
      <c r="K1644" s="1" t="n">
        <f aca="false">IF(Search!$D$5="",0,IF(AND(OR(Search!$N$5="",ISNUMBER(SEARCH(Search!$N$5,J1644))),OR(Search!$N$6="",ISNUMBER(SEARCH(Search!$N$6,J1644))),OR(Search!$N$7="",ISNUMBER(SEARCH(Search!$N$7,J1644))),OR(Search!$N$8="",ISNUMBER(SEARCH(Search!$N$8,J1644)))),1,0))</f>
        <v>0</v>
      </c>
      <c r="L1644" s="1" t="n">
        <f aca="false">L1643+K1644</f>
        <v>0</v>
      </c>
    </row>
    <row r="1645" customFormat="false" ht="15" hidden="false" customHeight="true" outlineLevel="0" collapsed="false">
      <c r="A1645" s="1" t="s">
        <v>31</v>
      </c>
      <c r="B1645" s="1" t="s">
        <v>4474</v>
      </c>
      <c r="C1645" s="1" t="n">
        <v>37</v>
      </c>
      <c r="E1645" s="1" t="s">
        <v>585</v>
      </c>
      <c r="J1645" s="1" t="s">
        <v>585</v>
      </c>
      <c r="K1645" s="1" t="n">
        <f aca="false">IF(Search!$D$5="",0,IF(AND(OR(Search!$N$5="",ISNUMBER(SEARCH(Search!$N$5,J1645))),OR(Search!$N$6="",ISNUMBER(SEARCH(Search!$N$6,J1645))),OR(Search!$N$7="",ISNUMBER(SEARCH(Search!$N$7,J1645))),OR(Search!$N$8="",ISNUMBER(SEARCH(Search!$N$8,J1645)))),1,0))</f>
        <v>0</v>
      </c>
      <c r="L1645" s="1" t="n">
        <f aca="false">L1644+K1645</f>
        <v>0</v>
      </c>
    </row>
    <row r="1646" customFormat="false" ht="15" hidden="false" customHeight="true" outlineLevel="0" collapsed="false">
      <c r="A1646" s="1" t="s">
        <v>31</v>
      </c>
      <c r="B1646" s="1" t="s">
        <v>4474</v>
      </c>
      <c r="C1646" s="1" t="n">
        <v>38</v>
      </c>
      <c r="E1646" s="1" t="s">
        <v>580</v>
      </c>
      <c r="J1646" s="1" t="s">
        <v>580</v>
      </c>
      <c r="K1646" s="1" t="n">
        <f aca="false">IF(Search!$D$5="",0,IF(AND(OR(Search!$N$5="",ISNUMBER(SEARCH(Search!$N$5,J1646))),OR(Search!$N$6="",ISNUMBER(SEARCH(Search!$N$6,J1646))),OR(Search!$N$7="",ISNUMBER(SEARCH(Search!$N$7,J1646))),OR(Search!$N$8="",ISNUMBER(SEARCH(Search!$N$8,J1646)))),1,0))</f>
        <v>0</v>
      </c>
      <c r="L1646" s="1" t="n">
        <f aca="false">L1645+K1646</f>
        <v>0</v>
      </c>
    </row>
    <row r="1647" customFormat="false" ht="15" hidden="false" customHeight="true" outlineLevel="0" collapsed="false">
      <c r="A1647" s="1" t="s">
        <v>31</v>
      </c>
      <c r="B1647" s="1" t="s">
        <v>4474</v>
      </c>
      <c r="C1647" s="1" t="n">
        <v>39</v>
      </c>
      <c r="E1647" s="1" t="s">
        <v>587</v>
      </c>
      <c r="J1647" s="1" t="s">
        <v>587</v>
      </c>
      <c r="K1647" s="1" t="n">
        <f aca="false">IF(Search!$D$5="",0,IF(AND(OR(Search!$N$5="",ISNUMBER(SEARCH(Search!$N$5,J1647))),OR(Search!$N$6="",ISNUMBER(SEARCH(Search!$N$6,J1647))),OR(Search!$N$7="",ISNUMBER(SEARCH(Search!$N$7,J1647))),OR(Search!$N$8="",ISNUMBER(SEARCH(Search!$N$8,J1647)))),1,0))</f>
        <v>0</v>
      </c>
      <c r="L1647" s="1" t="n">
        <f aca="false">L1646+K1647</f>
        <v>0</v>
      </c>
    </row>
    <row r="1648" customFormat="false" ht="15" hidden="false" customHeight="true" outlineLevel="0" collapsed="false">
      <c r="A1648" s="1" t="s">
        <v>31</v>
      </c>
      <c r="B1648" s="1" t="s">
        <v>4474</v>
      </c>
      <c r="C1648" s="1" t="n">
        <v>40</v>
      </c>
      <c r="E1648" s="1" t="s">
        <v>4518</v>
      </c>
      <c r="J1648" s="1" t="s">
        <v>4518</v>
      </c>
      <c r="K1648" s="1" t="n">
        <f aca="false">IF(Search!$D$5="",0,IF(AND(OR(Search!$N$5="",ISNUMBER(SEARCH(Search!$N$5,J1648))),OR(Search!$N$6="",ISNUMBER(SEARCH(Search!$N$6,J1648))),OR(Search!$N$7="",ISNUMBER(SEARCH(Search!$N$7,J1648))),OR(Search!$N$8="",ISNUMBER(SEARCH(Search!$N$8,J1648)))),1,0))</f>
        <v>0</v>
      </c>
      <c r="L1648" s="1" t="n">
        <f aca="false">L1647+K1648</f>
        <v>0</v>
      </c>
    </row>
    <row r="1649" customFormat="false" ht="15" hidden="false" customHeight="true" outlineLevel="0" collapsed="false">
      <c r="A1649" s="1" t="s">
        <v>31</v>
      </c>
      <c r="B1649" s="1" t="s">
        <v>4474</v>
      </c>
      <c r="C1649" s="1" t="n">
        <v>42</v>
      </c>
      <c r="E1649" s="1" t="s">
        <v>4519</v>
      </c>
      <c r="J1649" s="1" t="s">
        <v>4519</v>
      </c>
      <c r="K1649" s="1" t="n">
        <f aca="false">IF(Search!$D$5="",0,IF(AND(OR(Search!$N$5="",ISNUMBER(SEARCH(Search!$N$5,J1649))),OR(Search!$N$6="",ISNUMBER(SEARCH(Search!$N$6,J1649))),OR(Search!$N$7="",ISNUMBER(SEARCH(Search!$N$7,J1649))),OR(Search!$N$8="",ISNUMBER(SEARCH(Search!$N$8,J1649)))),1,0))</f>
        <v>0</v>
      </c>
      <c r="L1649" s="1" t="n">
        <f aca="false">L1648+K1649</f>
        <v>0</v>
      </c>
    </row>
    <row r="1650" customFormat="false" ht="15" hidden="false" customHeight="true" outlineLevel="0" collapsed="false">
      <c r="A1650" s="1" t="s">
        <v>32</v>
      </c>
      <c r="B1650" s="1" t="s">
        <v>4474</v>
      </c>
      <c r="C1650" s="1" t="n">
        <v>2</v>
      </c>
      <c r="E1650" s="1" t="s">
        <v>4520</v>
      </c>
      <c r="J1650" s="1" t="s">
        <v>4520</v>
      </c>
      <c r="K1650" s="1" t="n">
        <f aca="false">IF(Search!$D$5="",0,IF(AND(OR(Search!$N$5="",ISNUMBER(SEARCH(Search!$N$5,J1650))),OR(Search!$N$6="",ISNUMBER(SEARCH(Search!$N$6,J1650))),OR(Search!$N$7="",ISNUMBER(SEARCH(Search!$N$7,J1650))),OR(Search!$N$8="",ISNUMBER(SEARCH(Search!$N$8,J1650)))),1,0))</f>
        <v>0</v>
      </c>
      <c r="L1650" s="1" t="n">
        <f aca="false">L1649+K1650</f>
        <v>0</v>
      </c>
    </row>
    <row r="1651" customFormat="false" ht="15" hidden="false" customHeight="true" outlineLevel="0" collapsed="false">
      <c r="A1651" s="1" t="s">
        <v>32</v>
      </c>
      <c r="B1651" s="1" t="s">
        <v>4474</v>
      </c>
      <c r="C1651" s="1" t="n">
        <v>3</v>
      </c>
      <c r="E1651" s="1" t="s">
        <v>4521</v>
      </c>
      <c r="J1651" s="1" t="s">
        <v>4521</v>
      </c>
      <c r="K1651" s="1" t="n">
        <f aca="false">IF(Search!$D$5="",0,IF(AND(OR(Search!$N$5="",ISNUMBER(SEARCH(Search!$N$5,J1651))),OR(Search!$N$6="",ISNUMBER(SEARCH(Search!$N$6,J1651))),OR(Search!$N$7="",ISNUMBER(SEARCH(Search!$N$7,J1651))),OR(Search!$N$8="",ISNUMBER(SEARCH(Search!$N$8,J1651)))),1,0))</f>
        <v>0</v>
      </c>
      <c r="L1651" s="1" t="n">
        <f aca="false">L1650+K1651</f>
        <v>0</v>
      </c>
    </row>
    <row r="1652" customFormat="false" ht="15" hidden="false" customHeight="true" outlineLevel="0" collapsed="false">
      <c r="A1652" s="1" t="s">
        <v>32</v>
      </c>
      <c r="B1652" s="1" t="s">
        <v>4474</v>
      </c>
      <c r="C1652" s="1" t="n">
        <v>5</v>
      </c>
      <c r="E1652" s="1" t="s">
        <v>4522</v>
      </c>
      <c r="J1652" s="1" t="s">
        <v>4522</v>
      </c>
      <c r="K1652" s="1" t="n">
        <f aca="false">IF(Search!$D$5="",0,IF(AND(OR(Search!$N$5="",ISNUMBER(SEARCH(Search!$N$5,J1652))),OR(Search!$N$6="",ISNUMBER(SEARCH(Search!$N$6,J1652))),OR(Search!$N$7="",ISNUMBER(SEARCH(Search!$N$7,J1652))),OR(Search!$N$8="",ISNUMBER(SEARCH(Search!$N$8,J1652)))),1,0))</f>
        <v>0</v>
      </c>
      <c r="L1652" s="1" t="n">
        <f aca="false">L1651+K1652</f>
        <v>0</v>
      </c>
    </row>
    <row r="1653" customFormat="false" ht="54.75" hidden="false" customHeight="true" outlineLevel="0" collapsed="false">
      <c r="A1653" s="1" t="s">
        <v>32</v>
      </c>
      <c r="B1653" s="1" t="s">
        <v>4474</v>
      </c>
      <c r="C1653" s="1" t="n">
        <v>6</v>
      </c>
      <c r="E1653" s="1" t="s">
        <v>4523</v>
      </c>
      <c r="F1653" s="1" t="s">
        <v>632</v>
      </c>
      <c r="G1653" s="46" t="s">
        <v>4524</v>
      </c>
      <c r="H1653" s="46" t="s">
        <v>765</v>
      </c>
      <c r="I1653" s="46" t="s">
        <v>4525</v>
      </c>
      <c r="J1653" s="46" t="s">
        <v>4526</v>
      </c>
      <c r="K1653" s="1" t="n">
        <f aca="false">IF(Search!$D$5="",0,IF(AND(OR(Search!$N$5="",ISNUMBER(SEARCH(Search!$N$5,J1653))),OR(Search!$N$6="",ISNUMBER(SEARCH(Search!$N$6,J1653))),OR(Search!$N$7="",ISNUMBER(SEARCH(Search!$N$7,J1653))),OR(Search!$N$8="",ISNUMBER(SEARCH(Search!$N$8,J1653)))),1,0))</f>
        <v>0</v>
      </c>
      <c r="L1653" s="1" t="n">
        <f aca="false">L1652+K1653</f>
        <v>0</v>
      </c>
    </row>
    <row r="1654" customFormat="false" ht="15" hidden="false" customHeight="true" outlineLevel="0" collapsed="false">
      <c r="A1654" s="1" t="s">
        <v>32</v>
      </c>
      <c r="B1654" s="1" t="s">
        <v>4474</v>
      </c>
      <c r="C1654" s="1" t="n">
        <v>7</v>
      </c>
      <c r="E1654" s="1" t="s">
        <v>4527</v>
      </c>
      <c r="F1654" s="1" t="s">
        <v>4528</v>
      </c>
      <c r="G1654" s="1" t="s">
        <v>1876</v>
      </c>
      <c r="H1654" s="1" t="s">
        <v>618</v>
      </c>
      <c r="I1654" s="1" t="s">
        <v>400</v>
      </c>
      <c r="J1654" s="1" t="s">
        <v>4529</v>
      </c>
      <c r="K1654" s="1" t="n">
        <f aca="false">IF(Search!$D$5="",0,IF(AND(OR(Search!$N$5="",ISNUMBER(SEARCH(Search!$N$5,J1654))),OR(Search!$N$6="",ISNUMBER(SEARCH(Search!$N$6,J1654))),OR(Search!$N$7="",ISNUMBER(SEARCH(Search!$N$7,J1654))),OR(Search!$N$8="",ISNUMBER(SEARCH(Search!$N$8,J1654)))),1,0))</f>
        <v>0</v>
      </c>
      <c r="L1654" s="1" t="n">
        <f aca="false">L1653+K1654</f>
        <v>0</v>
      </c>
    </row>
    <row r="1655" customFormat="false" ht="15" hidden="false" customHeight="true" outlineLevel="0" collapsed="false">
      <c r="A1655" s="1" t="s">
        <v>32</v>
      </c>
      <c r="B1655" s="1" t="s">
        <v>4474</v>
      </c>
      <c r="C1655" s="1" t="n">
        <v>8</v>
      </c>
      <c r="E1655" s="1" t="s">
        <v>4527</v>
      </c>
      <c r="F1655" s="1" t="s">
        <v>4530</v>
      </c>
      <c r="G1655" s="1" t="s">
        <v>2702</v>
      </c>
      <c r="H1655" s="1" t="s">
        <v>618</v>
      </c>
      <c r="I1655" s="1" t="s">
        <v>401</v>
      </c>
      <c r="J1655" s="1" t="s">
        <v>4531</v>
      </c>
      <c r="K1655" s="1" t="n">
        <f aca="false">IF(Search!$D$5="",0,IF(AND(OR(Search!$N$5="",ISNUMBER(SEARCH(Search!$N$5,J1655))),OR(Search!$N$6="",ISNUMBER(SEARCH(Search!$N$6,J1655))),OR(Search!$N$7="",ISNUMBER(SEARCH(Search!$N$7,J1655))),OR(Search!$N$8="",ISNUMBER(SEARCH(Search!$N$8,J1655)))),1,0))</f>
        <v>0</v>
      </c>
      <c r="L1655" s="1" t="n">
        <f aca="false">L1654+K1655</f>
        <v>0</v>
      </c>
    </row>
    <row r="1656" customFormat="false" ht="15" hidden="false" customHeight="true" outlineLevel="0" collapsed="false">
      <c r="A1656" s="1" t="s">
        <v>32</v>
      </c>
      <c r="B1656" s="1" t="s">
        <v>4474</v>
      </c>
      <c r="C1656" s="1" t="n">
        <v>9</v>
      </c>
      <c r="E1656" s="1" t="s">
        <v>4527</v>
      </c>
      <c r="F1656" s="1" t="s">
        <v>648</v>
      </c>
      <c r="G1656" s="1" t="s">
        <v>1834</v>
      </c>
      <c r="H1656" s="1" t="s">
        <v>618</v>
      </c>
      <c r="I1656" s="1" t="s">
        <v>702</v>
      </c>
      <c r="J1656" s="1" t="s">
        <v>4532</v>
      </c>
      <c r="K1656" s="1" t="n">
        <f aca="false">IF(Search!$D$5="",0,IF(AND(OR(Search!$N$5="",ISNUMBER(SEARCH(Search!$N$5,J1656))),OR(Search!$N$6="",ISNUMBER(SEARCH(Search!$N$6,J1656))),OR(Search!$N$7="",ISNUMBER(SEARCH(Search!$N$7,J1656))),OR(Search!$N$8="",ISNUMBER(SEARCH(Search!$N$8,J1656)))),1,0))</f>
        <v>0</v>
      </c>
      <c r="L1656" s="1" t="n">
        <f aca="false">L1655+K1656</f>
        <v>0</v>
      </c>
    </row>
    <row r="1657" customFormat="false" ht="15" hidden="false" customHeight="true" outlineLevel="0" collapsed="false">
      <c r="A1657" s="1" t="s">
        <v>32</v>
      </c>
      <c r="B1657" s="1" t="s">
        <v>4474</v>
      </c>
      <c r="C1657" s="1" t="n">
        <v>10</v>
      </c>
      <c r="E1657" s="1" t="s">
        <v>4533</v>
      </c>
      <c r="F1657" s="1" t="s">
        <v>137</v>
      </c>
      <c r="G1657" s="1" t="s">
        <v>4087</v>
      </c>
      <c r="H1657" s="1" t="s">
        <v>773</v>
      </c>
      <c r="I1657" s="1" t="s">
        <v>621</v>
      </c>
      <c r="J1657" s="1" t="s">
        <v>4534</v>
      </c>
      <c r="K1657" s="1" t="n">
        <f aca="false">IF(Search!$D$5="",0,IF(AND(OR(Search!$N$5="",ISNUMBER(SEARCH(Search!$N$5,J1657))),OR(Search!$N$6="",ISNUMBER(SEARCH(Search!$N$6,J1657))),OR(Search!$N$7="",ISNUMBER(SEARCH(Search!$N$7,J1657))),OR(Search!$N$8="",ISNUMBER(SEARCH(Search!$N$8,J1657)))),1,0))</f>
        <v>0</v>
      </c>
      <c r="L1657" s="1" t="n">
        <f aca="false">L1656+K1657</f>
        <v>0</v>
      </c>
    </row>
    <row r="1658" customFormat="false" ht="15" hidden="false" customHeight="true" outlineLevel="0" collapsed="false">
      <c r="A1658" s="1" t="s">
        <v>32</v>
      </c>
      <c r="B1658" s="1" t="s">
        <v>4474</v>
      </c>
      <c r="C1658" s="1" t="n">
        <v>11</v>
      </c>
      <c r="E1658" s="1" t="s">
        <v>4533</v>
      </c>
      <c r="F1658" s="1" t="s">
        <v>718</v>
      </c>
      <c r="G1658" s="1" t="s">
        <v>627</v>
      </c>
      <c r="H1658" s="1" t="s">
        <v>775</v>
      </c>
      <c r="I1658" s="1" t="s">
        <v>716</v>
      </c>
      <c r="J1658" s="1" t="s">
        <v>4535</v>
      </c>
      <c r="K1658" s="1" t="n">
        <f aca="false">IF(Search!$D$5="",0,IF(AND(OR(Search!$N$5="",ISNUMBER(SEARCH(Search!$N$5,J1658))),OR(Search!$N$6="",ISNUMBER(SEARCH(Search!$N$6,J1658))),OR(Search!$N$7="",ISNUMBER(SEARCH(Search!$N$7,J1658))),OR(Search!$N$8="",ISNUMBER(SEARCH(Search!$N$8,J1658)))),1,0))</f>
        <v>0</v>
      </c>
      <c r="L1658" s="1" t="n">
        <f aca="false">L1657+K1658</f>
        <v>0</v>
      </c>
    </row>
    <row r="1659" customFormat="false" ht="15" hidden="false" customHeight="true" outlineLevel="0" collapsed="false">
      <c r="A1659" s="1" t="s">
        <v>32</v>
      </c>
      <c r="B1659" s="1" t="s">
        <v>4474</v>
      </c>
      <c r="C1659" s="1" t="n">
        <v>12</v>
      </c>
      <c r="E1659" s="1" t="s">
        <v>726</v>
      </c>
      <c r="F1659" s="1" t="s">
        <v>738</v>
      </c>
      <c r="G1659" s="1" t="s">
        <v>1904</v>
      </c>
      <c r="H1659" s="1" t="s">
        <v>779</v>
      </c>
      <c r="I1659" s="1" t="s">
        <v>740</v>
      </c>
      <c r="J1659" s="1" t="s">
        <v>4536</v>
      </c>
      <c r="K1659" s="1" t="n">
        <f aca="false">IF(Search!$D$5="",0,IF(AND(OR(Search!$N$5="",ISNUMBER(SEARCH(Search!$N$5,J1659))),OR(Search!$N$6="",ISNUMBER(SEARCH(Search!$N$6,J1659))),OR(Search!$N$7="",ISNUMBER(SEARCH(Search!$N$7,J1659))),OR(Search!$N$8="",ISNUMBER(SEARCH(Search!$N$8,J1659)))),1,0))</f>
        <v>0</v>
      </c>
      <c r="L1659" s="1" t="n">
        <f aca="false">L1658+K1659</f>
        <v>0</v>
      </c>
    </row>
    <row r="1660" customFormat="false" ht="15" hidden="false" customHeight="true" outlineLevel="0" collapsed="false">
      <c r="A1660" s="1" t="s">
        <v>32</v>
      </c>
      <c r="B1660" s="1" t="s">
        <v>4474</v>
      </c>
      <c r="C1660" s="1" t="n">
        <v>13</v>
      </c>
      <c r="E1660" s="1" t="s">
        <v>726</v>
      </c>
      <c r="F1660" s="1" t="s">
        <v>727</v>
      </c>
      <c r="G1660" s="1" t="s">
        <v>4087</v>
      </c>
      <c r="H1660" s="1" t="s">
        <v>779</v>
      </c>
      <c r="I1660" s="1" t="s">
        <v>3884</v>
      </c>
      <c r="J1660" s="1" t="s">
        <v>4537</v>
      </c>
      <c r="K1660" s="1" t="n">
        <f aca="false">IF(Search!$D$5="",0,IF(AND(OR(Search!$N$5="",ISNUMBER(SEARCH(Search!$N$5,J1660))),OR(Search!$N$6="",ISNUMBER(SEARCH(Search!$N$6,J1660))),OR(Search!$N$7="",ISNUMBER(SEARCH(Search!$N$7,J1660))),OR(Search!$N$8="",ISNUMBER(SEARCH(Search!$N$8,J1660)))),1,0))</f>
        <v>0</v>
      </c>
      <c r="L1660" s="1" t="n">
        <f aca="false">L1659+K1660</f>
        <v>0</v>
      </c>
    </row>
    <row r="1661" customFormat="false" ht="15" hidden="false" customHeight="true" outlineLevel="0" collapsed="false">
      <c r="A1661" s="1" t="s">
        <v>32</v>
      </c>
      <c r="B1661" s="1" t="s">
        <v>4474</v>
      </c>
      <c r="C1661" s="1" t="n">
        <v>14</v>
      </c>
      <c r="E1661" s="1" t="s">
        <v>138</v>
      </c>
      <c r="F1661" s="1" t="s">
        <v>4538</v>
      </c>
      <c r="G1661" s="1" t="s">
        <v>2377</v>
      </c>
      <c r="H1661" s="1" t="s">
        <v>618</v>
      </c>
      <c r="I1661" s="1" t="s">
        <v>400</v>
      </c>
      <c r="J1661" s="1" t="s">
        <v>4539</v>
      </c>
      <c r="K1661" s="1" t="n">
        <f aca="false">IF(Search!$D$5="",0,IF(AND(OR(Search!$N$5="",ISNUMBER(SEARCH(Search!$N$5,J1661))),OR(Search!$N$6="",ISNUMBER(SEARCH(Search!$N$6,J1661))),OR(Search!$N$7="",ISNUMBER(SEARCH(Search!$N$7,J1661))),OR(Search!$N$8="",ISNUMBER(SEARCH(Search!$N$8,J1661)))),1,0))</f>
        <v>0</v>
      </c>
      <c r="L1661" s="1" t="n">
        <f aca="false">L1660+K1661</f>
        <v>0</v>
      </c>
    </row>
    <row r="1662" customFormat="false" ht="15" hidden="false" customHeight="true" outlineLevel="0" collapsed="false">
      <c r="A1662" s="1" t="s">
        <v>32</v>
      </c>
      <c r="B1662" s="1" t="s">
        <v>4474</v>
      </c>
      <c r="C1662" s="1" t="n">
        <v>18</v>
      </c>
      <c r="E1662" s="1" t="s">
        <v>4540</v>
      </c>
      <c r="J1662" s="1" t="s">
        <v>4540</v>
      </c>
      <c r="K1662" s="1" t="n">
        <f aca="false">IF(Search!$D$5="",0,IF(AND(OR(Search!$N$5="",ISNUMBER(SEARCH(Search!$N$5,J1662))),OR(Search!$N$6="",ISNUMBER(SEARCH(Search!$N$6,J1662))),OR(Search!$N$7="",ISNUMBER(SEARCH(Search!$N$7,J1662))),OR(Search!$N$8="",ISNUMBER(SEARCH(Search!$N$8,J1662)))),1,0))</f>
        <v>0</v>
      </c>
      <c r="L1662" s="1" t="n">
        <f aca="false">L1661+K1662</f>
        <v>0</v>
      </c>
    </row>
    <row r="1663" customFormat="false" ht="15" hidden="false" customHeight="true" outlineLevel="0" collapsed="false">
      <c r="A1663" s="1" t="s">
        <v>32</v>
      </c>
      <c r="B1663" s="1" t="s">
        <v>4474</v>
      </c>
      <c r="C1663" s="1" t="n">
        <v>19</v>
      </c>
      <c r="E1663" s="1" t="s">
        <v>4541</v>
      </c>
      <c r="J1663" s="1" t="s">
        <v>4541</v>
      </c>
      <c r="K1663" s="1" t="n">
        <f aca="false">IF(Search!$D$5="",0,IF(AND(OR(Search!$N$5="",ISNUMBER(SEARCH(Search!$N$5,J1663))),OR(Search!$N$6="",ISNUMBER(SEARCH(Search!$N$6,J1663))),OR(Search!$N$7="",ISNUMBER(SEARCH(Search!$N$7,J1663))),OR(Search!$N$8="",ISNUMBER(SEARCH(Search!$N$8,J1663)))),1,0))</f>
        <v>0</v>
      </c>
      <c r="L1663" s="1" t="n">
        <f aca="false">L1662+K1663</f>
        <v>0</v>
      </c>
    </row>
    <row r="1664" customFormat="false" ht="54.75" hidden="false" customHeight="true" outlineLevel="0" collapsed="false">
      <c r="A1664" s="1" t="s">
        <v>32</v>
      </c>
      <c r="B1664" s="1" t="s">
        <v>4474</v>
      </c>
      <c r="C1664" s="1" t="n">
        <v>20</v>
      </c>
      <c r="E1664" s="1" t="s">
        <v>4513</v>
      </c>
      <c r="F1664" s="1" t="s">
        <v>4514</v>
      </c>
      <c r="G1664" s="46" t="s">
        <v>4542</v>
      </c>
      <c r="H1664" s="46" t="s">
        <v>4543</v>
      </c>
      <c r="I1664" s="46" t="s">
        <v>4544</v>
      </c>
      <c r="J1664" s="46" t="s">
        <v>4545</v>
      </c>
      <c r="K1664" s="1" t="n">
        <f aca="false">IF(Search!$D$5="",0,IF(AND(OR(Search!$N$5="",ISNUMBER(SEARCH(Search!$N$5,J1664))),OR(Search!$N$6="",ISNUMBER(SEARCH(Search!$N$6,J1664))),OR(Search!$N$7="",ISNUMBER(SEARCH(Search!$N$7,J1664))),OR(Search!$N$8="",ISNUMBER(SEARCH(Search!$N$8,J1664)))),1,0))</f>
        <v>0</v>
      </c>
      <c r="L1664" s="1" t="n">
        <f aca="false">L1663+K1664</f>
        <v>0</v>
      </c>
    </row>
    <row r="1665" customFormat="false" ht="15" hidden="false" customHeight="true" outlineLevel="0" collapsed="false">
      <c r="A1665" s="1" t="s">
        <v>32</v>
      </c>
      <c r="B1665" s="1" t="s">
        <v>4474</v>
      </c>
      <c r="C1665" s="1" t="n">
        <v>21</v>
      </c>
      <c r="E1665" s="1" t="s">
        <v>1045</v>
      </c>
      <c r="J1665" s="1" t="s">
        <v>1045</v>
      </c>
      <c r="K1665" s="1" t="n">
        <f aca="false">IF(Search!$D$5="",0,IF(AND(OR(Search!$N$5="",ISNUMBER(SEARCH(Search!$N$5,J1665))),OR(Search!$N$6="",ISNUMBER(SEARCH(Search!$N$6,J1665))),OR(Search!$N$7="",ISNUMBER(SEARCH(Search!$N$7,J1665))),OR(Search!$N$8="",ISNUMBER(SEARCH(Search!$N$8,J1665)))),1,0))</f>
        <v>0</v>
      </c>
      <c r="L1665" s="1" t="n">
        <f aca="false">L1664+K1665</f>
        <v>0</v>
      </c>
    </row>
    <row r="1666" customFormat="false" ht="15" hidden="false" customHeight="true" outlineLevel="0" collapsed="false">
      <c r="A1666" s="1" t="s">
        <v>32</v>
      </c>
      <c r="B1666" s="1" t="s">
        <v>4474</v>
      </c>
      <c r="C1666" s="1" t="n">
        <v>22</v>
      </c>
      <c r="E1666" s="1" t="s">
        <v>2543</v>
      </c>
      <c r="J1666" s="1" t="s">
        <v>2543</v>
      </c>
      <c r="K1666" s="1" t="n">
        <f aca="false">IF(Search!$D$5="",0,IF(AND(OR(Search!$N$5="",ISNUMBER(SEARCH(Search!$N$5,J1666))),OR(Search!$N$6="",ISNUMBER(SEARCH(Search!$N$6,J1666))),OR(Search!$N$7="",ISNUMBER(SEARCH(Search!$N$7,J1666))),OR(Search!$N$8="",ISNUMBER(SEARCH(Search!$N$8,J1666)))),1,0))</f>
        <v>0</v>
      </c>
      <c r="L1666" s="1" t="n">
        <f aca="false">L1665+K1666</f>
        <v>0</v>
      </c>
    </row>
    <row r="1667" customFormat="false" ht="15" hidden="false" customHeight="true" outlineLevel="0" collapsed="false">
      <c r="A1667" s="1" t="s">
        <v>32</v>
      </c>
      <c r="B1667" s="1" t="s">
        <v>4474</v>
      </c>
      <c r="C1667" s="1" t="n">
        <v>23</v>
      </c>
      <c r="E1667" s="1" t="s">
        <v>987</v>
      </c>
      <c r="J1667" s="1" t="s">
        <v>987</v>
      </c>
      <c r="K1667" s="1" t="n">
        <f aca="false">IF(Search!$D$5="",0,IF(AND(OR(Search!$N$5="",ISNUMBER(SEARCH(Search!$N$5,J1667))),OR(Search!$N$6="",ISNUMBER(SEARCH(Search!$N$6,J1667))),OR(Search!$N$7="",ISNUMBER(SEARCH(Search!$N$7,J1667))),OR(Search!$N$8="",ISNUMBER(SEARCH(Search!$N$8,J1667)))),1,0))</f>
        <v>0</v>
      </c>
      <c r="L1667" s="1" t="n">
        <f aca="false">L1666+K1667</f>
        <v>0</v>
      </c>
    </row>
    <row r="1668" customFormat="false" ht="15" hidden="false" customHeight="true" outlineLevel="0" collapsed="false">
      <c r="A1668" s="1" t="s">
        <v>32</v>
      </c>
      <c r="B1668" s="1" t="s">
        <v>4474</v>
      </c>
      <c r="C1668" s="1" t="n">
        <v>24</v>
      </c>
      <c r="E1668" s="1" t="s">
        <v>1830</v>
      </c>
      <c r="J1668" s="1" t="s">
        <v>1830</v>
      </c>
      <c r="K1668" s="1" t="n">
        <f aca="false">IF(Search!$D$5="",0,IF(AND(OR(Search!$N$5="",ISNUMBER(SEARCH(Search!$N$5,J1668))),OR(Search!$N$6="",ISNUMBER(SEARCH(Search!$N$6,J1668))),OR(Search!$N$7="",ISNUMBER(SEARCH(Search!$N$7,J1668))),OR(Search!$N$8="",ISNUMBER(SEARCH(Search!$N$8,J1668)))),1,0))</f>
        <v>0</v>
      </c>
      <c r="L1668" s="1" t="n">
        <f aca="false">L1667+K1668</f>
        <v>0</v>
      </c>
    </row>
    <row r="1669" customFormat="false" ht="15" hidden="false" customHeight="true" outlineLevel="0" collapsed="false">
      <c r="A1669" s="1" t="s">
        <v>32</v>
      </c>
      <c r="B1669" s="1" t="s">
        <v>4474</v>
      </c>
      <c r="C1669" s="1" t="n">
        <v>25</v>
      </c>
      <c r="E1669" s="1" t="s">
        <v>1834</v>
      </c>
      <c r="J1669" s="1" t="s">
        <v>1834</v>
      </c>
      <c r="K1669" s="1" t="n">
        <f aca="false">IF(Search!$D$5="",0,IF(AND(OR(Search!$N$5="",ISNUMBER(SEARCH(Search!$N$5,J1669))),OR(Search!$N$6="",ISNUMBER(SEARCH(Search!$N$6,J1669))),OR(Search!$N$7="",ISNUMBER(SEARCH(Search!$N$7,J1669))),OR(Search!$N$8="",ISNUMBER(SEARCH(Search!$N$8,J1669)))),1,0))</f>
        <v>0</v>
      </c>
      <c r="L1669" s="1" t="n">
        <f aca="false">L1668+K1669</f>
        <v>0</v>
      </c>
    </row>
    <row r="1670" customFormat="false" ht="15" hidden="false" customHeight="true" outlineLevel="0" collapsed="false">
      <c r="A1670" s="1" t="s">
        <v>32</v>
      </c>
      <c r="B1670" s="1" t="s">
        <v>4474</v>
      </c>
      <c r="C1670" s="1" t="n">
        <v>26</v>
      </c>
      <c r="E1670" s="1" t="s">
        <v>1838</v>
      </c>
      <c r="J1670" s="1" t="s">
        <v>1838</v>
      </c>
      <c r="K1670" s="1" t="n">
        <f aca="false">IF(Search!$D$5="",0,IF(AND(OR(Search!$N$5="",ISNUMBER(SEARCH(Search!$N$5,J1670))),OR(Search!$N$6="",ISNUMBER(SEARCH(Search!$N$6,J1670))),OR(Search!$N$7="",ISNUMBER(SEARCH(Search!$N$7,J1670))),OR(Search!$N$8="",ISNUMBER(SEARCH(Search!$N$8,J1670)))),1,0))</f>
        <v>0</v>
      </c>
      <c r="L1670" s="1" t="n">
        <f aca="false">L1669+K1670</f>
        <v>0</v>
      </c>
    </row>
    <row r="1671" customFormat="false" ht="15" hidden="false" customHeight="true" outlineLevel="0" collapsed="false">
      <c r="A1671" s="1" t="s">
        <v>32</v>
      </c>
      <c r="B1671" s="1" t="s">
        <v>4474</v>
      </c>
      <c r="C1671" s="1" t="n">
        <v>27</v>
      </c>
      <c r="E1671" s="1" t="s">
        <v>1943</v>
      </c>
      <c r="J1671" s="1" t="s">
        <v>1943</v>
      </c>
      <c r="K1671" s="1" t="n">
        <f aca="false">IF(Search!$D$5="",0,IF(AND(OR(Search!$N$5="",ISNUMBER(SEARCH(Search!$N$5,J1671))),OR(Search!$N$6="",ISNUMBER(SEARCH(Search!$N$6,J1671))),OR(Search!$N$7="",ISNUMBER(SEARCH(Search!$N$7,J1671))),OR(Search!$N$8="",ISNUMBER(SEARCH(Search!$N$8,J1671)))),1,0))</f>
        <v>0</v>
      </c>
      <c r="L1671" s="1" t="n">
        <f aca="false">L1670+K1671</f>
        <v>0</v>
      </c>
    </row>
    <row r="1672" customFormat="false" ht="15" hidden="false" customHeight="true" outlineLevel="0" collapsed="false">
      <c r="A1672" s="1" t="s">
        <v>32</v>
      </c>
      <c r="B1672" s="1" t="s">
        <v>4474</v>
      </c>
      <c r="C1672" s="1" t="n">
        <v>28</v>
      </c>
      <c r="E1672" s="1" t="s">
        <v>1904</v>
      </c>
      <c r="J1672" s="1" t="s">
        <v>1904</v>
      </c>
      <c r="K1672" s="1" t="n">
        <f aca="false">IF(Search!$D$5="",0,IF(AND(OR(Search!$N$5="",ISNUMBER(SEARCH(Search!$N$5,J1672))),OR(Search!$N$6="",ISNUMBER(SEARCH(Search!$N$6,J1672))),OR(Search!$N$7="",ISNUMBER(SEARCH(Search!$N$7,J1672))),OR(Search!$N$8="",ISNUMBER(SEARCH(Search!$N$8,J1672)))),1,0))</f>
        <v>0</v>
      </c>
      <c r="L1672" s="1" t="n">
        <f aca="false">L1671+K1672</f>
        <v>0</v>
      </c>
    </row>
    <row r="1673" customFormat="false" ht="15" hidden="false" customHeight="true" outlineLevel="0" collapsed="false">
      <c r="A1673" s="1" t="s">
        <v>32</v>
      </c>
      <c r="B1673" s="1" t="s">
        <v>4474</v>
      </c>
      <c r="C1673" s="1" t="n">
        <v>29</v>
      </c>
      <c r="E1673" s="1" t="s">
        <v>1929</v>
      </c>
      <c r="J1673" s="1" t="s">
        <v>1929</v>
      </c>
      <c r="K1673" s="1" t="n">
        <f aca="false">IF(Search!$D$5="",0,IF(AND(OR(Search!$N$5="",ISNUMBER(SEARCH(Search!$N$5,J1673))),OR(Search!$N$6="",ISNUMBER(SEARCH(Search!$N$6,J1673))),OR(Search!$N$7="",ISNUMBER(SEARCH(Search!$N$7,J1673))),OR(Search!$N$8="",ISNUMBER(SEARCH(Search!$N$8,J1673)))),1,0))</f>
        <v>0</v>
      </c>
      <c r="L1673" s="1" t="n">
        <f aca="false">L1672+K1673</f>
        <v>0</v>
      </c>
    </row>
    <row r="1674" customFormat="false" ht="15" hidden="false" customHeight="true" outlineLevel="0" collapsed="false">
      <c r="A1674" s="1" t="s">
        <v>32</v>
      </c>
      <c r="B1674" s="1" t="s">
        <v>4474</v>
      </c>
      <c r="C1674" s="1" t="n">
        <v>30</v>
      </c>
      <c r="E1674" s="1" t="s">
        <v>1975</v>
      </c>
      <c r="J1674" s="1" t="s">
        <v>1975</v>
      </c>
      <c r="K1674" s="1" t="n">
        <f aca="false">IF(Search!$D$5="",0,IF(AND(OR(Search!$N$5="",ISNUMBER(SEARCH(Search!$N$5,J1674))),OR(Search!$N$6="",ISNUMBER(SEARCH(Search!$N$6,J1674))),OR(Search!$N$7="",ISNUMBER(SEARCH(Search!$N$7,J1674))),OR(Search!$N$8="",ISNUMBER(SEARCH(Search!$N$8,J1674)))),1,0))</f>
        <v>0</v>
      </c>
      <c r="L1674" s="1" t="n">
        <f aca="false">L1673+K1674</f>
        <v>0</v>
      </c>
    </row>
    <row r="1675" customFormat="false" ht="15" hidden="false" customHeight="true" outlineLevel="0" collapsed="false">
      <c r="A1675" s="1" t="s">
        <v>32</v>
      </c>
      <c r="B1675" s="1" t="s">
        <v>4474</v>
      </c>
      <c r="C1675" s="1" t="n">
        <v>31</v>
      </c>
      <c r="E1675" s="1" t="s">
        <v>4546</v>
      </c>
      <c r="J1675" s="1" t="s">
        <v>4546</v>
      </c>
      <c r="K1675" s="1" t="n">
        <f aca="false">IF(Search!$D$5="",0,IF(AND(OR(Search!$N$5="",ISNUMBER(SEARCH(Search!$N$5,J1675))),OR(Search!$N$6="",ISNUMBER(SEARCH(Search!$N$6,J1675))),OR(Search!$N$7="",ISNUMBER(SEARCH(Search!$N$7,J1675))),OR(Search!$N$8="",ISNUMBER(SEARCH(Search!$N$8,J1675)))),1,0))</f>
        <v>0</v>
      </c>
      <c r="L1675" s="1" t="n">
        <f aca="false">L1674+K1675</f>
        <v>0</v>
      </c>
    </row>
    <row r="1676" customFormat="false" ht="15" hidden="false" customHeight="true" outlineLevel="0" collapsed="false">
      <c r="A1676" s="1" t="s">
        <v>33</v>
      </c>
      <c r="B1676" s="1" t="s">
        <v>4474</v>
      </c>
      <c r="C1676" s="1" t="n">
        <v>2</v>
      </c>
      <c r="E1676" s="1" t="s">
        <v>4547</v>
      </c>
      <c r="J1676" s="1" t="s">
        <v>4547</v>
      </c>
      <c r="K1676" s="1" t="n">
        <f aca="false">IF(Search!$D$5="",0,IF(AND(OR(Search!$N$5="",ISNUMBER(SEARCH(Search!$N$5,J1676))),OR(Search!$N$6="",ISNUMBER(SEARCH(Search!$N$6,J1676))),OR(Search!$N$7="",ISNUMBER(SEARCH(Search!$N$7,J1676))),OR(Search!$N$8="",ISNUMBER(SEARCH(Search!$N$8,J1676)))),1,0))</f>
        <v>0</v>
      </c>
      <c r="L1676" s="1" t="n">
        <f aca="false">L1675+K1676</f>
        <v>0</v>
      </c>
    </row>
    <row r="1677" customFormat="false" ht="15" hidden="false" customHeight="true" outlineLevel="0" collapsed="false">
      <c r="A1677" s="1" t="s">
        <v>33</v>
      </c>
      <c r="B1677" s="1" t="s">
        <v>4474</v>
      </c>
      <c r="C1677" s="1" t="n">
        <v>3</v>
      </c>
      <c r="E1677" s="1" t="s">
        <v>4548</v>
      </c>
      <c r="J1677" s="1" t="s">
        <v>4548</v>
      </c>
      <c r="K1677" s="1" t="n">
        <f aca="false">IF(Search!$D$5="",0,IF(AND(OR(Search!$N$5="",ISNUMBER(SEARCH(Search!$N$5,J1677))),OR(Search!$N$6="",ISNUMBER(SEARCH(Search!$N$6,J1677))),OR(Search!$N$7="",ISNUMBER(SEARCH(Search!$N$7,J1677))),OR(Search!$N$8="",ISNUMBER(SEARCH(Search!$N$8,J1677)))),1,0))</f>
        <v>0</v>
      </c>
      <c r="L1677" s="1" t="n">
        <f aca="false">L1676+K1677</f>
        <v>0</v>
      </c>
    </row>
    <row r="1678" customFormat="false" ht="15" hidden="false" customHeight="true" outlineLevel="0" collapsed="false">
      <c r="A1678" s="1" t="s">
        <v>33</v>
      </c>
      <c r="B1678" s="1" t="s">
        <v>4474</v>
      </c>
      <c r="C1678" s="1" t="n">
        <v>5</v>
      </c>
      <c r="E1678" s="1" t="s">
        <v>4549</v>
      </c>
      <c r="J1678" s="1" t="s">
        <v>4549</v>
      </c>
      <c r="K1678" s="1" t="n">
        <f aca="false">IF(Search!$D$5="",0,IF(AND(OR(Search!$N$5="",ISNUMBER(SEARCH(Search!$N$5,J1678))),OR(Search!$N$6="",ISNUMBER(SEARCH(Search!$N$6,J1678))),OR(Search!$N$7="",ISNUMBER(SEARCH(Search!$N$7,J1678))),OR(Search!$N$8="",ISNUMBER(SEARCH(Search!$N$8,J1678)))),1,0))</f>
        <v>0</v>
      </c>
      <c r="L1678" s="1" t="n">
        <f aca="false">L1677+K1678</f>
        <v>0</v>
      </c>
    </row>
    <row r="1679" customFormat="false" ht="54.75" hidden="false" customHeight="true" outlineLevel="0" collapsed="false">
      <c r="A1679" s="1" t="s">
        <v>33</v>
      </c>
      <c r="B1679" s="1" t="s">
        <v>4474</v>
      </c>
      <c r="C1679" s="1" t="n">
        <v>6</v>
      </c>
      <c r="E1679" s="46" t="s">
        <v>4550</v>
      </c>
      <c r="F1679" s="46" t="s">
        <v>4551</v>
      </c>
      <c r="G1679" s="1" t="s">
        <v>4552</v>
      </c>
      <c r="H1679" s="1" t="s">
        <v>4553</v>
      </c>
      <c r="I1679" s="46" t="s">
        <v>4554</v>
      </c>
      <c r="J1679" s="46" t="s">
        <v>4555</v>
      </c>
      <c r="K1679" s="1" t="n">
        <f aca="false">IF(Search!$D$5="",0,IF(AND(OR(Search!$N$5="",ISNUMBER(SEARCH(Search!$N$5,J1679))),OR(Search!$N$6="",ISNUMBER(SEARCH(Search!$N$6,J1679))),OR(Search!$N$7="",ISNUMBER(SEARCH(Search!$N$7,J1679))),OR(Search!$N$8="",ISNUMBER(SEARCH(Search!$N$8,J1679)))),1,0))</f>
        <v>0</v>
      </c>
      <c r="L1679" s="1" t="n">
        <f aca="false">L1678+K1679</f>
        <v>0</v>
      </c>
    </row>
    <row r="1680" customFormat="false" ht="15" hidden="false" customHeight="true" outlineLevel="0" collapsed="false">
      <c r="A1680" s="1" t="s">
        <v>33</v>
      </c>
      <c r="B1680" s="1" t="s">
        <v>4474</v>
      </c>
      <c r="C1680" s="1" t="n">
        <v>7</v>
      </c>
      <c r="E1680" s="1" t="s">
        <v>4556</v>
      </c>
      <c r="F1680" s="1" t="s">
        <v>1045</v>
      </c>
      <c r="G1680" s="1" t="s">
        <v>3077</v>
      </c>
      <c r="H1680" s="1" t="s">
        <v>3078</v>
      </c>
      <c r="I1680" s="1" t="s">
        <v>4557</v>
      </c>
      <c r="J1680" s="1" t="s">
        <v>4558</v>
      </c>
      <c r="K1680" s="1" t="n">
        <f aca="false">IF(Search!$D$5="",0,IF(AND(OR(Search!$N$5="",ISNUMBER(SEARCH(Search!$N$5,J1680))),OR(Search!$N$6="",ISNUMBER(SEARCH(Search!$N$6,J1680))),OR(Search!$N$7="",ISNUMBER(SEARCH(Search!$N$7,J1680))),OR(Search!$N$8="",ISNUMBER(SEARCH(Search!$N$8,J1680)))),1,0))</f>
        <v>0</v>
      </c>
      <c r="L1680" s="1" t="n">
        <f aca="false">L1679+K1680</f>
        <v>0</v>
      </c>
    </row>
    <row r="1681" customFormat="false" ht="15" hidden="false" customHeight="true" outlineLevel="0" collapsed="false">
      <c r="A1681" s="1" t="s">
        <v>33</v>
      </c>
      <c r="B1681" s="1" t="s">
        <v>4474</v>
      </c>
      <c r="C1681" s="1" t="n">
        <v>8</v>
      </c>
      <c r="E1681" s="1" t="s">
        <v>4559</v>
      </c>
      <c r="F1681" s="1" t="s">
        <v>1045</v>
      </c>
      <c r="G1681" s="1" t="s">
        <v>3088</v>
      </c>
      <c r="H1681" s="1" t="s">
        <v>3089</v>
      </c>
      <c r="I1681" s="1" t="s">
        <v>4560</v>
      </c>
      <c r="J1681" s="1" t="s">
        <v>4561</v>
      </c>
      <c r="K1681" s="1" t="n">
        <f aca="false">IF(Search!$D$5="",0,IF(AND(OR(Search!$N$5="",ISNUMBER(SEARCH(Search!$N$5,J1681))),OR(Search!$N$6="",ISNUMBER(SEARCH(Search!$N$6,J1681))),OR(Search!$N$7="",ISNUMBER(SEARCH(Search!$N$7,J1681))),OR(Search!$N$8="",ISNUMBER(SEARCH(Search!$N$8,J1681)))),1,0))</f>
        <v>0</v>
      </c>
      <c r="L1681" s="1" t="n">
        <f aca="false">L1680+K1681</f>
        <v>0</v>
      </c>
    </row>
    <row r="1682" customFormat="false" ht="15" hidden="false" customHeight="true" outlineLevel="0" collapsed="false">
      <c r="A1682" s="1" t="s">
        <v>33</v>
      </c>
      <c r="B1682" s="1" t="s">
        <v>4474</v>
      </c>
      <c r="C1682" s="1" t="n">
        <v>9</v>
      </c>
      <c r="E1682" s="1" t="s">
        <v>4562</v>
      </c>
      <c r="F1682" s="1" t="s">
        <v>1045</v>
      </c>
      <c r="G1682" s="1" t="s">
        <v>3099</v>
      </c>
      <c r="H1682" s="1" t="s">
        <v>3100</v>
      </c>
      <c r="I1682" s="1" t="s">
        <v>4560</v>
      </c>
      <c r="J1682" s="1" t="s">
        <v>4563</v>
      </c>
      <c r="K1682" s="1" t="n">
        <f aca="false">IF(Search!$D$5="",0,IF(AND(OR(Search!$N$5="",ISNUMBER(SEARCH(Search!$N$5,J1682))),OR(Search!$N$6="",ISNUMBER(SEARCH(Search!$N$6,J1682))),OR(Search!$N$7="",ISNUMBER(SEARCH(Search!$N$7,J1682))),OR(Search!$N$8="",ISNUMBER(SEARCH(Search!$N$8,J1682)))),1,0))</f>
        <v>0</v>
      </c>
      <c r="L1682" s="1" t="n">
        <f aca="false">L1681+K1682</f>
        <v>0</v>
      </c>
    </row>
    <row r="1683" customFormat="false" ht="15" hidden="false" customHeight="true" outlineLevel="0" collapsed="false">
      <c r="A1683" s="1" t="s">
        <v>33</v>
      </c>
      <c r="B1683" s="1" t="s">
        <v>4474</v>
      </c>
      <c r="C1683" s="1" t="n">
        <v>10</v>
      </c>
      <c r="E1683" s="1" t="s">
        <v>4564</v>
      </c>
      <c r="F1683" s="1" t="s">
        <v>2838</v>
      </c>
      <c r="G1683" s="1" t="s">
        <v>4565</v>
      </c>
      <c r="H1683" s="1" t="s">
        <v>4566</v>
      </c>
      <c r="I1683" s="1" t="s">
        <v>4567</v>
      </c>
      <c r="J1683" s="1" t="s">
        <v>4568</v>
      </c>
      <c r="K1683" s="1" t="n">
        <f aca="false">IF(Search!$D$5="",0,IF(AND(OR(Search!$N$5="",ISNUMBER(SEARCH(Search!$N$5,J1683))),OR(Search!$N$6="",ISNUMBER(SEARCH(Search!$N$6,J1683))),OR(Search!$N$7="",ISNUMBER(SEARCH(Search!$N$7,J1683))),OR(Search!$N$8="",ISNUMBER(SEARCH(Search!$N$8,J1683)))),1,0))</f>
        <v>0</v>
      </c>
      <c r="L1683" s="1" t="n">
        <f aca="false">L1682+K1683</f>
        <v>0</v>
      </c>
    </row>
    <row r="1684" customFormat="false" ht="15" hidden="false" customHeight="true" outlineLevel="0" collapsed="false">
      <c r="A1684" s="1" t="s">
        <v>33</v>
      </c>
      <c r="B1684" s="1" t="s">
        <v>4474</v>
      </c>
      <c r="C1684" s="1" t="n">
        <v>11</v>
      </c>
      <c r="E1684" s="1" t="s">
        <v>4569</v>
      </c>
      <c r="F1684" s="1" t="s">
        <v>1862</v>
      </c>
      <c r="G1684" s="1" t="s">
        <v>4570</v>
      </c>
      <c r="H1684" s="1" t="s">
        <v>4571</v>
      </c>
      <c r="I1684" s="1" t="s">
        <v>4572</v>
      </c>
      <c r="J1684" s="1" t="s">
        <v>4573</v>
      </c>
      <c r="K1684" s="1" t="n">
        <f aca="false">IF(Search!$D$5="",0,IF(AND(OR(Search!$N$5="",ISNUMBER(SEARCH(Search!$N$5,J1684))),OR(Search!$N$6="",ISNUMBER(SEARCH(Search!$N$6,J1684))),OR(Search!$N$7="",ISNUMBER(SEARCH(Search!$N$7,J1684))),OR(Search!$N$8="",ISNUMBER(SEARCH(Search!$N$8,J1684)))),1,0))</f>
        <v>0</v>
      </c>
      <c r="L1684" s="1" t="n">
        <f aca="false">L1683+K1684</f>
        <v>0</v>
      </c>
    </row>
    <row r="1685" customFormat="false" ht="15" hidden="false" customHeight="true" outlineLevel="0" collapsed="false">
      <c r="A1685" s="1" t="s">
        <v>33</v>
      </c>
      <c r="B1685" s="1" t="s">
        <v>4474</v>
      </c>
      <c r="C1685" s="1" t="n">
        <v>12</v>
      </c>
      <c r="E1685" s="1" t="s">
        <v>4574</v>
      </c>
      <c r="F1685" s="1" t="s">
        <v>1862</v>
      </c>
      <c r="G1685" s="1" t="s">
        <v>4575</v>
      </c>
      <c r="H1685" s="1" t="s">
        <v>4576</v>
      </c>
      <c r="I1685" s="1" t="s">
        <v>4577</v>
      </c>
      <c r="J1685" s="1" t="s">
        <v>4578</v>
      </c>
      <c r="K1685" s="1" t="n">
        <f aca="false">IF(Search!$D$5="",0,IF(AND(OR(Search!$N$5="",ISNUMBER(SEARCH(Search!$N$5,J1685))),OR(Search!$N$6="",ISNUMBER(SEARCH(Search!$N$6,J1685))),OR(Search!$N$7="",ISNUMBER(SEARCH(Search!$N$7,J1685))),OR(Search!$N$8="",ISNUMBER(SEARCH(Search!$N$8,J1685)))),1,0))</f>
        <v>0</v>
      </c>
      <c r="L1685" s="1" t="n">
        <f aca="false">L1684+K1685</f>
        <v>0</v>
      </c>
    </row>
    <row r="1686" customFormat="false" ht="15" hidden="false" customHeight="true" outlineLevel="0" collapsed="false">
      <c r="A1686" s="1" t="s">
        <v>33</v>
      </c>
      <c r="B1686" s="1" t="s">
        <v>4474</v>
      </c>
      <c r="C1686" s="1" t="n">
        <v>13</v>
      </c>
      <c r="E1686" s="1" t="s">
        <v>4579</v>
      </c>
      <c r="F1686" s="1" t="s">
        <v>1862</v>
      </c>
      <c r="G1686" s="1" t="s">
        <v>4580</v>
      </c>
      <c r="H1686" s="1" t="s">
        <v>4581</v>
      </c>
      <c r="I1686" s="1" t="s">
        <v>4577</v>
      </c>
      <c r="J1686" s="1" t="s">
        <v>4582</v>
      </c>
      <c r="K1686" s="1" t="n">
        <f aca="false">IF(Search!$D$5="",0,IF(AND(OR(Search!$N$5="",ISNUMBER(SEARCH(Search!$N$5,J1686))),OR(Search!$N$6="",ISNUMBER(SEARCH(Search!$N$6,J1686))),OR(Search!$N$7="",ISNUMBER(SEARCH(Search!$N$7,J1686))),OR(Search!$N$8="",ISNUMBER(SEARCH(Search!$N$8,J1686)))),1,0))</f>
        <v>0</v>
      </c>
      <c r="L1686" s="1" t="n">
        <f aca="false">L1685+K1686</f>
        <v>0</v>
      </c>
    </row>
    <row r="1687" customFormat="false" ht="15" hidden="false" customHeight="true" outlineLevel="0" collapsed="false">
      <c r="A1687" s="1" t="s">
        <v>33</v>
      </c>
      <c r="B1687" s="1" t="s">
        <v>4474</v>
      </c>
      <c r="C1687" s="1" t="n">
        <v>14</v>
      </c>
      <c r="E1687" s="1" t="s">
        <v>4583</v>
      </c>
      <c r="F1687" s="1" t="s">
        <v>1409</v>
      </c>
      <c r="G1687" s="1" t="s">
        <v>4584</v>
      </c>
      <c r="H1687" s="1" t="s">
        <v>4585</v>
      </c>
      <c r="I1687" s="1" t="s">
        <v>4586</v>
      </c>
      <c r="J1687" s="1" t="s">
        <v>4587</v>
      </c>
      <c r="K1687" s="1" t="n">
        <f aca="false">IF(Search!$D$5="",0,IF(AND(OR(Search!$N$5="",ISNUMBER(SEARCH(Search!$N$5,J1687))),OR(Search!$N$6="",ISNUMBER(SEARCH(Search!$N$6,J1687))),OR(Search!$N$7="",ISNUMBER(SEARCH(Search!$N$7,J1687))),OR(Search!$N$8="",ISNUMBER(SEARCH(Search!$N$8,J1687)))),1,0))</f>
        <v>0</v>
      </c>
      <c r="L1687" s="1" t="n">
        <f aca="false">L1686+K1687</f>
        <v>0</v>
      </c>
    </row>
    <row r="1688" customFormat="false" ht="15" hidden="false" customHeight="true" outlineLevel="0" collapsed="false">
      <c r="A1688" s="1" t="s">
        <v>33</v>
      </c>
      <c r="B1688" s="1" t="s">
        <v>4474</v>
      </c>
      <c r="C1688" s="1" t="n">
        <v>15</v>
      </c>
      <c r="E1688" s="1" t="s">
        <v>4588</v>
      </c>
      <c r="F1688" s="1" t="s">
        <v>2358</v>
      </c>
      <c r="G1688" s="1" t="s">
        <v>3671</v>
      </c>
      <c r="H1688" s="1" t="s">
        <v>4589</v>
      </c>
      <c r="I1688" s="1" t="s">
        <v>4590</v>
      </c>
      <c r="J1688" s="1" t="s">
        <v>4591</v>
      </c>
      <c r="K1688" s="1" t="n">
        <f aca="false">IF(Search!$D$5="",0,IF(AND(OR(Search!$N$5="",ISNUMBER(SEARCH(Search!$N$5,J1688))),OR(Search!$N$6="",ISNUMBER(SEARCH(Search!$N$6,J1688))),OR(Search!$N$7="",ISNUMBER(SEARCH(Search!$N$7,J1688))),OR(Search!$N$8="",ISNUMBER(SEARCH(Search!$N$8,J1688)))),1,0))</f>
        <v>0</v>
      </c>
      <c r="L1688" s="1" t="n">
        <f aca="false">L1687+K1688</f>
        <v>0</v>
      </c>
    </row>
    <row r="1689" customFormat="false" ht="15" hidden="false" customHeight="true" outlineLevel="0" collapsed="false">
      <c r="A1689" s="1" t="s">
        <v>33</v>
      </c>
      <c r="B1689" s="1" t="s">
        <v>4474</v>
      </c>
      <c r="C1689" s="1" t="n">
        <v>16</v>
      </c>
      <c r="E1689" s="1" t="s">
        <v>4592</v>
      </c>
      <c r="F1689" s="1" t="s">
        <v>2377</v>
      </c>
      <c r="G1689" s="1" t="s">
        <v>4593</v>
      </c>
      <c r="H1689" s="1" t="s">
        <v>4594</v>
      </c>
      <c r="I1689" s="1" t="s">
        <v>4595</v>
      </c>
      <c r="J1689" s="1" t="s">
        <v>4596</v>
      </c>
      <c r="K1689" s="1" t="n">
        <f aca="false">IF(Search!$D$5="",0,IF(AND(OR(Search!$N$5="",ISNUMBER(SEARCH(Search!$N$5,J1689))),OR(Search!$N$6="",ISNUMBER(SEARCH(Search!$N$6,J1689))),OR(Search!$N$7="",ISNUMBER(SEARCH(Search!$N$7,J1689))),OR(Search!$N$8="",ISNUMBER(SEARCH(Search!$N$8,J1689)))),1,0))</f>
        <v>0</v>
      </c>
      <c r="L1689" s="1" t="n">
        <f aca="false">L1688+K1689</f>
        <v>0</v>
      </c>
    </row>
    <row r="1690" customFormat="false" ht="15" hidden="false" customHeight="true" outlineLevel="0" collapsed="false">
      <c r="A1690" s="1" t="s">
        <v>33</v>
      </c>
      <c r="B1690" s="1" t="s">
        <v>4474</v>
      </c>
      <c r="C1690" s="1" t="n">
        <v>19</v>
      </c>
      <c r="E1690" s="1" t="s">
        <v>4597</v>
      </c>
      <c r="J1690" s="1" t="s">
        <v>4597</v>
      </c>
      <c r="K1690" s="1" t="n">
        <f aca="false">IF(Search!$D$5="",0,IF(AND(OR(Search!$N$5="",ISNUMBER(SEARCH(Search!$N$5,J1690))),OR(Search!$N$6="",ISNUMBER(SEARCH(Search!$N$6,J1690))),OR(Search!$N$7="",ISNUMBER(SEARCH(Search!$N$7,J1690))),OR(Search!$N$8="",ISNUMBER(SEARCH(Search!$N$8,J1690)))),1,0))</f>
        <v>0</v>
      </c>
      <c r="L1690" s="1" t="n">
        <f aca="false">L1689+K1690</f>
        <v>0</v>
      </c>
    </row>
    <row r="1691" customFormat="false" ht="54.75" hidden="false" customHeight="true" outlineLevel="0" collapsed="false">
      <c r="A1691" s="1" t="s">
        <v>33</v>
      </c>
      <c r="B1691" s="1" t="s">
        <v>4474</v>
      </c>
      <c r="C1691" s="1" t="n">
        <v>20</v>
      </c>
      <c r="E1691" s="46" t="s">
        <v>4550</v>
      </c>
      <c r="F1691" s="46" t="s">
        <v>4551</v>
      </c>
      <c r="G1691" s="1" t="s">
        <v>4552</v>
      </c>
      <c r="H1691" s="1" t="s">
        <v>4553</v>
      </c>
      <c r="I1691" s="46" t="s">
        <v>4554</v>
      </c>
      <c r="J1691" s="46" t="s">
        <v>4555</v>
      </c>
      <c r="K1691" s="1" t="n">
        <f aca="false">IF(Search!$D$5="",0,IF(AND(OR(Search!$N$5="",ISNUMBER(SEARCH(Search!$N$5,J1691))),OR(Search!$N$6="",ISNUMBER(SEARCH(Search!$N$6,J1691))),OR(Search!$N$7="",ISNUMBER(SEARCH(Search!$N$7,J1691))),OR(Search!$N$8="",ISNUMBER(SEARCH(Search!$N$8,J1691)))),1,0))</f>
        <v>0</v>
      </c>
      <c r="L1691" s="1" t="n">
        <f aca="false">L1690+K1691</f>
        <v>0</v>
      </c>
    </row>
    <row r="1692" customFormat="false" ht="15" hidden="false" customHeight="true" outlineLevel="0" collapsed="false">
      <c r="A1692" s="1" t="s">
        <v>33</v>
      </c>
      <c r="B1692" s="1" t="s">
        <v>4474</v>
      </c>
      <c r="C1692" s="1" t="n">
        <v>21</v>
      </c>
      <c r="E1692" s="1" t="s">
        <v>4598</v>
      </c>
      <c r="F1692" s="1" t="s">
        <v>2838</v>
      </c>
      <c r="G1692" s="1" t="s">
        <v>4599</v>
      </c>
      <c r="H1692" s="1" t="s">
        <v>4600</v>
      </c>
      <c r="I1692" s="1" t="s">
        <v>4601</v>
      </c>
      <c r="J1692" s="1" t="s">
        <v>4602</v>
      </c>
      <c r="K1692" s="1" t="n">
        <f aca="false">IF(Search!$D$5="",0,IF(AND(OR(Search!$N$5="",ISNUMBER(SEARCH(Search!$N$5,J1692))),OR(Search!$N$6="",ISNUMBER(SEARCH(Search!$N$6,J1692))),OR(Search!$N$7="",ISNUMBER(SEARCH(Search!$N$7,J1692))),OR(Search!$N$8="",ISNUMBER(SEARCH(Search!$N$8,J1692)))),1,0))</f>
        <v>0</v>
      </c>
      <c r="L1692" s="1" t="n">
        <f aca="false">L1691+K1692</f>
        <v>0</v>
      </c>
    </row>
    <row r="1693" customFormat="false" ht="15" hidden="false" customHeight="true" outlineLevel="0" collapsed="false">
      <c r="A1693" s="1" t="s">
        <v>33</v>
      </c>
      <c r="B1693" s="1" t="s">
        <v>4474</v>
      </c>
      <c r="C1693" s="1" t="n">
        <v>22</v>
      </c>
      <c r="E1693" s="1" t="s">
        <v>4603</v>
      </c>
      <c r="F1693" s="1" t="s">
        <v>1862</v>
      </c>
      <c r="G1693" s="1" t="s">
        <v>4604</v>
      </c>
      <c r="H1693" s="1" t="s">
        <v>4605</v>
      </c>
      <c r="I1693" s="1" t="s">
        <v>4606</v>
      </c>
      <c r="J1693" s="1" t="s">
        <v>4607</v>
      </c>
      <c r="K1693" s="1" t="n">
        <f aca="false">IF(Search!$D$5="",0,IF(AND(OR(Search!$N$5="",ISNUMBER(SEARCH(Search!$N$5,J1693))),OR(Search!$N$6="",ISNUMBER(SEARCH(Search!$N$6,J1693))),OR(Search!$N$7="",ISNUMBER(SEARCH(Search!$N$7,J1693))),OR(Search!$N$8="",ISNUMBER(SEARCH(Search!$N$8,J1693)))),1,0))</f>
        <v>0</v>
      </c>
      <c r="L1693" s="1" t="n">
        <f aca="false">L1692+K1693</f>
        <v>0</v>
      </c>
    </row>
    <row r="1694" customFormat="false" ht="15" hidden="false" customHeight="true" outlineLevel="0" collapsed="false">
      <c r="A1694" s="1" t="s">
        <v>33</v>
      </c>
      <c r="B1694" s="1" t="s">
        <v>4474</v>
      </c>
      <c r="C1694" s="1" t="n">
        <v>23</v>
      </c>
      <c r="E1694" s="1" t="s">
        <v>4608</v>
      </c>
      <c r="F1694" s="1" t="s">
        <v>1862</v>
      </c>
      <c r="G1694" s="1" t="s">
        <v>4575</v>
      </c>
      <c r="H1694" s="1" t="s">
        <v>4576</v>
      </c>
      <c r="I1694" s="1" t="s">
        <v>4572</v>
      </c>
      <c r="J1694" s="1" t="s">
        <v>4609</v>
      </c>
      <c r="K1694" s="1" t="n">
        <f aca="false">IF(Search!$D$5="",0,IF(AND(OR(Search!$N$5="",ISNUMBER(SEARCH(Search!$N$5,J1694))),OR(Search!$N$6="",ISNUMBER(SEARCH(Search!$N$6,J1694))),OR(Search!$N$7="",ISNUMBER(SEARCH(Search!$N$7,J1694))),OR(Search!$N$8="",ISNUMBER(SEARCH(Search!$N$8,J1694)))),1,0))</f>
        <v>0</v>
      </c>
      <c r="L1694" s="1" t="n">
        <f aca="false">L1693+K1694</f>
        <v>0</v>
      </c>
    </row>
    <row r="1695" customFormat="false" ht="15" hidden="false" customHeight="true" outlineLevel="0" collapsed="false">
      <c r="A1695" s="1" t="s">
        <v>33</v>
      </c>
      <c r="B1695" s="1" t="s">
        <v>4474</v>
      </c>
      <c r="C1695" s="1" t="n">
        <v>24</v>
      </c>
      <c r="E1695" s="1" t="s">
        <v>4610</v>
      </c>
      <c r="F1695" s="1" t="s">
        <v>1409</v>
      </c>
      <c r="G1695" s="1" t="s">
        <v>4611</v>
      </c>
      <c r="H1695" s="1" t="s">
        <v>4612</v>
      </c>
      <c r="I1695" s="1" t="s">
        <v>4586</v>
      </c>
      <c r="J1695" s="1" t="s">
        <v>4613</v>
      </c>
      <c r="K1695" s="1" t="n">
        <f aca="false">IF(Search!$D$5="",0,IF(AND(OR(Search!$N$5="",ISNUMBER(SEARCH(Search!$N$5,J1695))),OR(Search!$N$6="",ISNUMBER(SEARCH(Search!$N$6,J1695))),OR(Search!$N$7="",ISNUMBER(SEARCH(Search!$N$7,J1695))),OR(Search!$N$8="",ISNUMBER(SEARCH(Search!$N$8,J1695)))),1,0))</f>
        <v>0</v>
      </c>
      <c r="L1695" s="1" t="n">
        <f aca="false">L1694+K1695</f>
        <v>0</v>
      </c>
    </row>
    <row r="1696" customFormat="false" ht="15" hidden="false" customHeight="true" outlineLevel="0" collapsed="false">
      <c r="A1696" s="1" t="s">
        <v>33</v>
      </c>
      <c r="B1696" s="1" t="s">
        <v>4474</v>
      </c>
      <c r="C1696" s="1" t="n">
        <v>25</v>
      </c>
      <c r="E1696" s="1" t="s">
        <v>4614</v>
      </c>
      <c r="F1696" s="1" t="s">
        <v>1409</v>
      </c>
      <c r="G1696" s="1" t="s">
        <v>4615</v>
      </c>
      <c r="H1696" s="1" t="s">
        <v>4616</v>
      </c>
      <c r="I1696" s="1" t="s">
        <v>4617</v>
      </c>
      <c r="J1696" s="1" t="s">
        <v>4618</v>
      </c>
      <c r="K1696" s="1" t="n">
        <f aca="false">IF(Search!$D$5="",0,IF(AND(OR(Search!$N$5="",ISNUMBER(SEARCH(Search!$N$5,J1696))),OR(Search!$N$6="",ISNUMBER(SEARCH(Search!$N$6,J1696))),OR(Search!$N$7="",ISNUMBER(SEARCH(Search!$N$7,J1696))),OR(Search!$N$8="",ISNUMBER(SEARCH(Search!$N$8,J1696)))),1,0))</f>
        <v>0</v>
      </c>
      <c r="L1696" s="1" t="n">
        <f aca="false">L1695+K1696</f>
        <v>0</v>
      </c>
    </row>
    <row r="1697" customFormat="false" ht="15" hidden="false" customHeight="true" outlineLevel="0" collapsed="false">
      <c r="A1697" s="1" t="s">
        <v>33</v>
      </c>
      <c r="B1697" s="1" t="s">
        <v>4474</v>
      </c>
      <c r="C1697" s="1" t="n">
        <v>26</v>
      </c>
      <c r="E1697" s="1" t="s">
        <v>4619</v>
      </c>
      <c r="F1697" s="1" t="s">
        <v>2377</v>
      </c>
      <c r="G1697" s="1" t="s">
        <v>4620</v>
      </c>
      <c r="H1697" s="1" t="s">
        <v>4621</v>
      </c>
      <c r="I1697" s="1" t="s">
        <v>4595</v>
      </c>
      <c r="J1697" s="1" t="s">
        <v>4622</v>
      </c>
      <c r="K1697" s="1" t="n">
        <f aca="false">IF(Search!$D$5="",0,IF(AND(OR(Search!$N$5="",ISNUMBER(SEARCH(Search!$N$5,J1697))),OR(Search!$N$6="",ISNUMBER(SEARCH(Search!$N$6,J1697))),OR(Search!$N$7="",ISNUMBER(SEARCH(Search!$N$7,J1697))),OR(Search!$N$8="",ISNUMBER(SEARCH(Search!$N$8,J1697)))),1,0))</f>
        <v>0</v>
      </c>
      <c r="L1697" s="1" t="n">
        <f aca="false">L1696+K1697</f>
        <v>0</v>
      </c>
    </row>
    <row r="1698" customFormat="false" ht="15" hidden="false" customHeight="true" outlineLevel="0" collapsed="false">
      <c r="A1698" s="1" t="s">
        <v>33</v>
      </c>
      <c r="B1698" s="1" t="s">
        <v>4474</v>
      </c>
      <c r="C1698" s="1" t="n">
        <v>29</v>
      </c>
      <c r="E1698" s="1" t="s">
        <v>4623</v>
      </c>
      <c r="J1698" s="1" t="s">
        <v>4623</v>
      </c>
      <c r="K1698" s="1" t="n">
        <f aca="false">IF(Search!$D$5="",0,IF(AND(OR(Search!$N$5="",ISNUMBER(SEARCH(Search!$N$5,J1698))),OR(Search!$N$6="",ISNUMBER(SEARCH(Search!$N$6,J1698))),OR(Search!$N$7="",ISNUMBER(SEARCH(Search!$N$7,J1698))),OR(Search!$N$8="",ISNUMBER(SEARCH(Search!$N$8,J1698)))),1,0))</f>
        <v>0</v>
      </c>
      <c r="L1698" s="1" t="n">
        <f aca="false">L1697+K1698</f>
        <v>0</v>
      </c>
    </row>
    <row r="1699" customFormat="false" ht="15" hidden="false" customHeight="true" outlineLevel="0" collapsed="false">
      <c r="A1699" s="1" t="s">
        <v>33</v>
      </c>
      <c r="B1699" s="1" t="s">
        <v>4474</v>
      </c>
      <c r="C1699" s="1" t="n">
        <v>30</v>
      </c>
      <c r="E1699" s="1" t="s">
        <v>4624</v>
      </c>
      <c r="F1699" s="1" t="s">
        <v>4625</v>
      </c>
      <c r="J1699" s="1" t="s">
        <v>4626</v>
      </c>
      <c r="K1699" s="1" t="n">
        <f aca="false">IF(Search!$D$5="",0,IF(AND(OR(Search!$N$5="",ISNUMBER(SEARCH(Search!$N$5,J1699))),OR(Search!$N$6="",ISNUMBER(SEARCH(Search!$N$6,J1699))),OR(Search!$N$7="",ISNUMBER(SEARCH(Search!$N$7,J1699))),OR(Search!$N$8="",ISNUMBER(SEARCH(Search!$N$8,J1699)))),1,0))</f>
        <v>0</v>
      </c>
      <c r="L1699" s="1" t="n">
        <f aca="false">L1698+K1699</f>
        <v>0</v>
      </c>
    </row>
    <row r="1700" customFormat="false" ht="15" hidden="false" customHeight="true" outlineLevel="0" collapsed="false">
      <c r="A1700" s="1" t="s">
        <v>33</v>
      </c>
      <c r="B1700" s="1" t="s">
        <v>4474</v>
      </c>
      <c r="C1700" s="1" t="n">
        <v>31</v>
      </c>
      <c r="E1700" s="1" t="s">
        <v>4627</v>
      </c>
      <c r="F1700" s="1" t="s">
        <v>4628</v>
      </c>
      <c r="J1700" s="1" t="s">
        <v>4629</v>
      </c>
      <c r="K1700" s="1" t="n">
        <f aca="false">IF(Search!$D$5="",0,IF(AND(OR(Search!$N$5="",ISNUMBER(SEARCH(Search!$N$5,J1700))),OR(Search!$N$6="",ISNUMBER(SEARCH(Search!$N$6,J1700))),OR(Search!$N$7="",ISNUMBER(SEARCH(Search!$N$7,J1700))),OR(Search!$N$8="",ISNUMBER(SEARCH(Search!$N$8,J1700)))),1,0))</f>
        <v>0</v>
      </c>
      <c r="L1700" s="1" t="n">
        <f aca="false">L1699+K1700</f>
        <v>0</v>
      </c>
    </row>
    <row r="1701" customFormat="false" ht="15" hidden="false" customHeight="true" outlineLevel="0" collapsed="false">
      <c r="A1701" s="1" t="s">
        <v>33</v>
      </c>
      <c r="B1701" s="1" t="s">
        <v>4474</v>
      </c>
      <c r="C1701" s="1" t="n">
        <v>32</v>
      </c>
      <c r="E1701" s="1" t="s">
        <v>4630</v>
      </c>
      <c r="F1701" s="1" t="s">
        <v>4631</v>
      </c>
      <c r="J1701" s="1" t="s">
        <v>4632</v>
      </c>
      <c r="K1701" s="1" t="n">
        <f aca="false">IF(Search!$D$5="",0,IF(AND(OR(Search!$N$5="",ISNUMBER(SEARCH(Search!$N$5,J1701))),OR(Search!$N$6="",ISNUMBER(SEARCH(Search!$N$6,J1701))),OR(Search!$N$7="",ISNUMBER(SEARCH(Search!$N$7,J1701))),OR(Search!$N$8="",ISNUMBER(SEARCH(Search!$N$8,J1701)))),1,0))</f>
        <v>0</v>
      </c>
      <c r="L1701" s="1" t="n">
        <f aca="false">L1700+K1701</f>
        <v>0</v>
      </c>
    </row>
    <row r="1702" customFormat="false" ht="15" hidden="false" customHeight="true" outlineLevel="0" collapsed="false">
      <c r="A1702" s="1" t="s">
        <v>33</v>
      </c>
      <c r="B1702" s="1" t="s">
        <v>4474</v>
      </c>
      <c r="C1702" s="1" t="n">
        <v>33</v>
      </c>
      <c r="E1702" s="1" t="s">
        <v>4633</v>
      </c>
      <c r="F1702" s="1" t="s">
        <v>4634</v>
      </c>
      <c r="J1702" s="1" t="s">
        <v>4635</v>
      </c>
      <c r="K1702" s="1" t="n">
        <f aca="false">IF(Search!$D$5="",0,IF(AND(OR(Search!$N$5="",ISNUMBER(SEARCH(Search!$N$5,J1702))),OR(Search!$N$6="",ISNUMBER(SEARCH(Search!$N$6,J1702))),OR(Search!$N$7="",ISNUMBER(SEARCH(Search!$N$7,J1702))),OR(Search!$N$8="",ISNUMBER(SEARCH(Search!$N$8,J1702)))),1,0))</f>
        <v>0</v>
      </c>
      <c r="L1702" s="1" t="n">
        <f aca="false">L1701+K1702</f>
        <v>0</v>
      </c>
    </row>
    <row r="1703" customFormat="false" ht="15" hidden="false" customHeight="true" outlineLevel="0" collapsed="false">
      <c r="A1703" s="1" t="s">
        <v>33</v>
      </c>
      <c r="B1703" s="1" t="s">
        <v>4474</v>
      </c>
      <c r="C1703" s="1" t="n">
        <v>34</v>
      </c>
      <c r="E1703" s="1" t="s">
        <v>4636</v>
      </c>
      <c r="F1703" s="1" t="s">
        <v>4637</v>
      </c>
      <c r="J1703" s="1" t="s">
        <v>4638</v>
      </c>
      <c r="K1703" s="1" t="n">
        <f aca="false">IF(Search!$D$5="",0,IF(AND(OR(Search!$N$5="",ISNUMBER(SEARCH(Search!$N$5,J1703))),OR(Search!$N$6="",ISNUMBER(SEARCH(Search!$N$6,J1703))),OR(Search!$N$7="",ISNUMBER(SEARCH(Search!$N$7,J1703))),OR(Search!$N$8="",ISNUMBER(SEARCH(Search!$N$8,J1703)))),1,0))</f>
        <v>0</v>
      </c>
      <c r="L1703" s="1" t="n">
        <f aca="false">L1702+K1703</f>
        <v>0</v>
      </c>
    </row>
    <row r="1704" customFormat="false" ht="15" hidden="false" customHeight="true" outlineLevel="0" collapsed="false">
      <c r="A1704" s="1" t="s">
        <v>33</v>
      </c>
      <c r="B1704" s="1" t="s">
        <v>4474</v>
      </c>
      <c r="C1704" s="1" t="n">
        <v>35</v>
      </c>
      <c r="E1704" s="1" t="s">
        <v>4639</v>
      </c>
      <c r="F1704" s="1" t="s">
        <v>4640</v>
      </c>
      <c r="J1704" s="1" t="s">
        <v>4641</v>
      </c>
      <c r="K1704" s="1" t="n">
        <f aca="false">IF(Search!$D$5="",0,IF(AND(OR(Search!$N$5="",ISNUMBER(SEARCH(Search!$N$5,J1704))),OR(Search!$N$6="",ISNUMBER(SEARCH(Search!$N$6,J1704))),OR(Search!$N$7="",ISNUMBER(SEARCH(Search!$N$7,J1704))),OR(Search!$N$8="",ISNUMBER(SEARCH(Search!$N$8,J1704)))),1,0))</f>
        <v>0</v>
      </c>
      <c r="L1704" s="1" t="n">
        <f aca="false">L1703+K1704</f>
        <v>0</v>
      </c>
    </row>
    <row r="1705" customFormat="false" ht="15" hidden="false" customHeight="true" outlineLevel="0" collapsed="false">
      <c r="A1705" s="1" t="s">
        <v>349</v>
      </c>
      <c r="B1705" s="1" t="s">
        <v>229</v>
      </c>
      <c r="C1705" s="1" t="n">
        <v>2</v>
      </c>
      <c r="E1705" s="1" t="s">
        <v>4642</v>
      </c>
      <c r="J1705" s="1" t="s">
        <v>4642</v>
      </c>
      <c r="K1705" s="1" t="n">
        <f aca="false">IF(Search!$D$5="",0,IF(AND(OR(Search!$N$5="",ISNUMBER(SEARCH(Search!$N$5,J1705))),OR(Search!$N$6="",ISNUMBER(SEARCH(Search!$N$6,J1705))),OR(Search!$N$7="",ISNUMBER(SEARCH(Search!$N$7,J1705))),OR(Search!$N$8="",ISNUMBER(SEARCH(Search!$N$8,J1705)))),1,0))</f>
        <v>0</v>
      </c>
      <c r="L1705" s="1" t="n">
        <f aca="false">L1704+K1705</f>
        <v>0</v>
      </c>
    </row>
    <row r="1706" customFormat="false" ht="15" hidden="false" customHeight="true" outlineLevel="0" collapsed="false">
      <c r="A1706" s="1" t="s">
        <v>349</v>
      </c>
      <c r="B1706" s="1" t="s">
        <v>229</v>
      </c>
      <c r="C1706" s="1" t="n">
        <v>3</v>
      </c>
      <c r="E1706" s="1" t="s">
        <v>4643</v>
      </c>
      <c r="J1706" s="1" t="s">
        <v>4643</v>
      </c>
      <c r="K1706" s="1" t="n">
        <f aca="false">IF(Search!$D$5="",0,IF(AND(OR(Search!$N$5="",ISNUMBER(SEARCH(Search!$N$5,J1706))),OR(Search!$N$6="",ISNUMBER(SEARCH(Search!$N$6,J1706))),OR(Search!$N$7="",ISNUMBER(SEARCH(Search!$N$7,J1706))),OR(Search!$N$8="",ISNUMBER(SEARCH(Search!$N$8,J1706)))),1,0))</f>
        <v>0</v>
      </c>
      <c r="L1706" s="1" t="n">
        <f aca="false">L1705+K1706</f>
        <v>0</v>
      </c>
    </row>
    <row r="1707" customFormat="false" ht="15" hidden="false" customHeight="true" outlineLevel="0" collapsed="false">
      <c r="A1707" s="1" t="s">
        <v>349</v>
      </c>
      <c r="B1707" s="1" t="s">
        <v>229</v>
      </c>
      <c r="C1707" s="1" t="n">
        <v>5</v>
      </c>
      <c r="E1707" s="1" t="s">
        <v>40</v>
      </c>
      <c r="F1707" s="1" t="s">
        <v>4644</v>
      </c>
      <c r="G1707" s="1" t="s">
        <v>4645</v>
      </c>
      <c r="H1707" s="1" t="s">
        <v>4646</v>
      </c>
      <c r="I1707" s="1" t="s">
        <v>4647</v>
      </c>
      <c r="J1707" s="1" t="s">
        <v>4648</v>
      </c>
      <c r="K1707" s="1" t="n">
        <f aca="false">IF(Search!$D$5="",0,IF(AND(OR(Search!$N$5="",ISNUMBER(SEARCH(Search!$N$5,J1707))),OR(Search!$N$6="",ISNUMBER(SEARCH(Search!$N$6,J1707))),OR(Search!$N$7="",ISNUMBER(SEARCH(Search!$N$7,J1707))),OR(Search!$N$8="",ISNUMBER(SEARCH(Search!$N$8,J1707)))),1,0))</f>
        <v>0</v>
      </c>
      <c r="L1707" s="1" t="n">
        <f aca="false">L1706+K1707</f>
        <v>0</v>
      </c>
    </row>
    <row r="1708" customFormat="false" ht="15" hidden="false" customHeight="true" outlineLevel="0" collapsed="false">
      <c r="A1708" s="1" t="s">
        <v>349</v>
      </c>
      <c r="B1708" s="1" t="s">
        <v>229</v>
      </c>
      <c r="C1708" s="1" t="n">
        <v>6</v>
      </c>
      <c r="E1708" s="1" t="s">
        <v>1036</v>
      </c>
      <c r="G1708" s="1" t="s">
        <v>4649</v>
      </c>
      <c r="H1708" s="1" t="s">
        <v>4646</v>
      </c>
      <c r="I1708" s="1" t="s">
        <v>4650</v>
      </c>
      <c r="J1708" s="1" t="s">
        <v>4651</v>
      </c>
      <c r="K1708" s="1" t="n">
        <f aca="false">IF(Search!$D$5="",0,IF(AND(OR(Search!$N$5="",ISNUMBER(SEARCH(Search!$N$5,J1708))),OR(Search!$N$6="",ISNUMBER(SEARCH(Search!$N$6,J1708))),OR(Search!$N$7="",ISNUMBER(SEARCH(Search!$N$7,J1708))),OR(Search!$N$8="",ISNUMBER(SEARCH(Search!$N$8,J1708)))),1,0))</f>
        <v>0</v>
      </c>
      <c r="L1708" s="1" t="n">
        <f aca="false">L1707+K1708</f>
        <v>0</v>
      </c>
    </row>
    <row r="1709" customFormat="false" ht="15" hidden="false" customHeight="true" outlineLevel="0" collapsed="false">
      <c r="A1709" s="1" t="s">
        <v>349</v>
      </c>
      <c r="B1709" s="1" t="s">
        <v>229</v>
      </c>
      <c r="C1709" s="1" t="n">
        <v>7</v>
      </c>
      <c r="E1709" s="1" t="s">
        <v>1036</v>
      </c>
      <c r="G1709" s="1" t="s">
        <v>4652</v>
      </c>
      <c r="H1709" s="1" t="s">
        <v>4646</v>
      </c>
      <c r="I1709" s="1" t="s">
        <v>4650</v>
      </c>
      <c r="J1709" s="1" t="s">
        <v>4653</v>
      </c>
      <c r="K1709" s="1" t="n">
        <f aca="false">IF(Search!$D$5="",0,IF(AND(OR(Search!$N$5="",ISNUMBER(SEARCH(Search!$N$5,J1709))),OR(Search!$N$6="",ISNUMBER(SEARCH(Search!$N$6,J1709))),OR(Search!$N$7="",ISNUMBER(SEARCH(Search!$N$7,J1709))),OR(Search!$N$8="",ISNUMBER(SEARCH(Search!$N$8,J1709)))),1,0))</f>
        <v>0</v>
      </c>
      <c r="L1709" s="1" t="n">
        <f aca="false">L1708+K1709</f>
        <v>0</v>
      </c>
    </row>
    <row r="1710" customFormat="false" ht="15" hidden="false" customHeight="true" outlineLevel="0" collapsed="false">
      <c r="A1710" s="1" t="s">
        <v>349</v>
      </c>
      <c r="B1710" s="1" t="s">
        <v>229</v>
      </c>
      <c r="C1710" s="1" t="n">
        <v>8</v>
      </c>
      <c r="E1710" s="1" t="s">
        <v>1036</v>
      </c>
      <c r="G1710" s="1" t="s">
        <v>4654</v>
      </c>
      <c r="H1710" s="1" t="s">
        <v>4646</v>
      </c>
      <c r="I1710" s="1" t="s">
        <v>4650</v>
      </c>
      <c r="J1710" s="1" t="s">
        <v>4655</v>
      </c>
      <c r="K1710" s="1" t="n">
        <f aca="false">IF(Search!$D$5="",0,IF(AND(OR(Search!$N$5="",ISNUMBER(SEARCH(Search!$N$5,J1710))),OR(Search!$N$6="",ISNUMBER(SEARCH(Search!$N$6,J1710))),OR(Search!$N$7="",ISNUMBER(SEARCH(Search!$N$7,J1710))),OR(Search!$N$8="",ISNUMBER(SEARCH(Search!$N$8,J1710)))),1,0))</f>
        <v>0</v>
      </c>
      <c r="L1710" s="1" t="n">
        <f aca="false">L1709+K1710</f>
        <v>0</v>
      </c>
    </row>
    <row r="1711" customFormat="false" ht="15" hidden="false" customHeight="true" outlineLevel="0" collapsed="false">
      <c r="A1711" s="1" t="s">
        <v>349</v>
      </c>
      <c r="B1711" s="1" t="s">
        <v>229</v>
      </c>
      <c r="C1711" s="1" t="n">
        <v>9</v>
      </c>
      <c r="E1711" s="1" t="s">
        <v>1036</v>
      </c>
      <c r="G1711" s="1" t="s">
        <v>4656</v>
      </c>
      <c r="H1711" s="1" t="s">
        <v>4646</v>
      </c>
      <c r="I1711" s="1" t="s">
        <v>4650</v>
      </c>
      <c r="J1711" s="1" t="s">
        <v>4657</v>
      </c>
      <c r="K1711" s="1" t="n">
        <f aca="false">IF(Search!$D$5="",0,IF(AND(OR(Search!$N$5="",ISNUMBER(SEARCH(Search!$N$5,J1711))),OR(Search!$N$6="",ISNUMBER(SEARCH(Search!$N$6,J1711))),OR(Search!$N$7="",ISNUMBER(SEARCH(Search!$N$7,J1711))),OR(Search!$N$8="",ISNUMBER(SEARCH(Search!$N$8,J1711)))),1,0))</f>
        <v>0</v>
      </c>
      <c r="L1711" s="1" t="n">
        <f aca="false">L1710+K1711</f>
        <v>0</v>
      </c>
    </row>
    <row r="1712" customFormat="false" ht="15" hidden="false" customHeight="true" outlineLevel="0" collapsed="false">
      <c r="A1712" s="1" t="s">
        <v>349</v>
      </c>
      <c r="B1712" s="1" t="s">
        <v>229</v>
      </c>
      <c r="C1712" s="1" t="n">
        <v>10</v>
      </c>
      <c r="E1712" s="1" t="s">
        <v>4658</v>
      </c>
      <c r="G1712" s="1" t="s">
        <v>4286</v>
      </c>
      <c r="H1712" s="1" t="s">
        <v>4646</v>
      </c>
      <c r="I1712" s="1" t="s">
        <v>4650</v>
      </c>
      <c r="J1712" s="1" t="s">
        <v>4659</v>
      </c>
      <c r="K1712" s="1" t="n">
        <f aca="false">IF(Search!$D$5="",0,IF(AND(OR(Search!$N$5="",ISNUMBER(SEARCH(Search!$N$5,J1712))),OR(Search!$N$6="",ISNUMBER(SEARCH(Search!$N$6,J1712))),OR(Search!$N$7="",ISNUMBER(SEARCH(Search!$N$7,J1712))),OR(Search!$N$8="",ISNUMBER(SEARCH(Search!$N$8,J1712)))),1,0))</f>
        <v>0</v>
      </c>
      <c r="L1712" s="1" t="n">
        <f aca="false">L1711+K1712</f>
        <v>0</v>
      </c>
    </row>
    <row r="1713" customFormat="false" ht="15" hidden="false" customHeight="true" outlineLevel="0" collapsed="false">
      <c r="A1713" s="1" t="s">
        <v>349</v>
      </c>
      <c r="B1713" s="1" t="s">
        <v>229</v>
      </c>
      <c r="C1713" s="1" t="n">
        <v>11</v>
      </c>
      <c r="E1713" s="1" t="s">
        <v>4658</v>
      </c>
      <c r="G1713" s="1" t="s">
        <v>4660</v>
      </c>
      <c r="H1713" s="1" t="s">
        <v>4646</v>
      </c>
      <c r="I1713" s="1" t="s">
        <v>4650</v>
      </c>
      <c r="J1713" s="1" t="s">
        <v>4661</v>
      </c>
      <c r="K1713" s="1" t="n">
        <f aca="false">IF(Search!$D$5="",0,IF(AND(OR(Search!$N$5="",ISNUMBER(SEARCH(Search!$N$5,J1713))),OR(Search!$N$6="",ISNUMBER(SEARCH(Search!$N$6,J1713))),OR(Search!$N$7="",ISNUMBER(SEARCH(Search!$N$7,J1713))),OR(Search!$N$8="",ISNUMBER(SEARCH(Search!$N$8,J1713)))),1,0))</f>
        <v>0</v>
      </c>
      <c r="L1713" s="1" t="n">
        <f aca="false">L1712+K1713</f>
        <v>0</v>
      </c>
    </row>
    <row r="1714" customFormat="false" ht="15" hidden="false" customHeight="true" outlineLevel="0" collapsed="false">
      <c r="A1714" s="1" t="s">
        <v>349</v>
      </c>
      <c r="B1714" s="1" t="s">
        <v>229</v>
      </c>
      <c r="C1714" s="1" t="n">
        <v>12</v>
      </c>
      <c r="E1714" s="1" t="s">
        <v>4662</v>
      </c>
      <c r="G1714" s="1" t="s">
        <v>4663</v>
      </c>
      <c r="H1714" s="1" t="s">
        <v>4646</v>
      </c>
      <c r="I1714" s="1" t="s">
        <v>4650</v>
      </c>
      <c r="J1714" s="1" t="s">
        <v>4664</v>
      </c>
      <c r="K1714" s="1" t="n">
        <f aca="false">IF(Search!$D$5="",0,IF(AND(OR(Search!$N$5="",ISNUMBER(SEARCH(Search!$N$5,J1714))),OR(Search!$N$6="",ISNUMBER(SEARCH(Search!$N$6,J1714))),OR(Search!$N$7="",ISNUMBER(SEARCH(Search!$N$7,J1714))),OR(Search!$N$8="",ISNUMBER(SEARCH(Search!$N$8,J1714)))),1,0))</f>
        <v>0</v>
      </c>
      <c r="L1714" s="1" t="n">
        <f aca="false">L1713+K1714</f>
        <v>0</v>
      </c>
    </row>
    <row r="1715" customFormat="false" ht="15" hidden="false" customHeight="true" outlineLevel="0" collapsed="false">
      <c r="A1715" s="1" t="s">
        <v>349</v>
      </c>
      <c r="B1715" s="1" t="s">
        <v>229</v>
      </c>
      <c r="C1715" s="1" t="n">
        <v>13</v>
      </c>
      <c r="E1715" s="1" t="s">
        <v>4662</v>
      </c>
      <c r="G1715" s="1" t="s">
        <v>4665</v>
      </c>
      <c r="H1715" s="1" t="s">
        <v>4646</v>
      </c>
      <c r="I1715" s="1" t="s">
        <v>4650</v>
      </c>
      <c r="J1715" s="1" t="s">
        <v>4666</v>
      </c>
      <c r="K1715" s="1" t="n">
        <f aca="false">IF(Search!$D$5="",0,IF(AND(OR(Search!$N$5="",ISNUMBER(SEARCH(Search!$N$5,J1715))),OR(Search!$N$6="",ISNUMBER(SEARCH(Search!$N$6,J1715))),OR(Search!$N$7="",ISNUMBER(SEARCH(Search!$N$7,J1715))),OR(Search!$N$8="",ISNUMBER(SEARCH(Search!$N$8,J1715)))),1,0))</f>
        <v>0</v>
      </c>
      <c r="L1715" s="1" t="n">
        <f aca="false">L1714+K1715</f>
        <v>0</v>
      </c>
    </row>
    <row r="1716" customFormat="false" ht="15" hidden="false" customHeight="true" outlineLevel="0" collapsed="false">
      <c r="A1716" s="1" t="s">
        <v>349</v>
      </c>
      <c r="B1716" s="1" t="s">
        <v>229</v>
      </c>
      <c r="C1716" s="1" t="n">
        <v>14</v>
      </c>
      <c r="E1716" s="1" t="s">
        <v>4667</v>
      </c>
      <c r="G1716" s="1" t="s">
        <v>4668</v>
      </c>
      <c r="H1716" s="1" t="s">
        <v>4646</v>
      </c>
      <c r="I1716" s="1" t="s">
        <v>4650</v>
      </c>
      <c r="J1716" s="1" t="s">
        <v>4669</v>
      </c>
      <c r="K1716" s="1" t="n">
        <f aca="false">IF(Search!$D$5="",0,IF(AND(OR(Search!$N$5="",ISNUMBER(SEARCH(Search!$N$5,J1716))),OR(Search!$N$6="",ISNUMBER(SEARCH(Search!$N$6,J1716))),OR(Search!$N$7="",ISNUMBER(SEARCH(Search!$N$7,J1716))),OR(Search!$N$8="",ISNUMBER(SEARCH(Search!$N$8,J1716)))),1,0))</f>
        <v>0</v>
      </c>
      <c r="L1716" s="1" t="n">
        <f aca="false">L1715+K1716</f>
        <v>0</v>
      </c>
    </row>
    <row r="1717" customFormat="false" ht="15" hidden="false" customHeight="true" outlineLevel="0" collapsed="false">
      <c r="A1717" s="1" t="s">
        <v>349</v>
      </c>
      <c r="B1717" s="1" t="s">
        <v>229</v>
      </c>
      <c r="C1717" s="1" t="n">
        <v>15</v>
      </c>
      <c r="E1717" s="1" t="s">
        <v>4667</v>
      </c>
      <c r="G1717" s="1" t="s">
        <v>4670</v>
      </c>
      <c r="H1717" s="1" t="s">
        <v>4646</v>
      </c>
      <c r="I1717" s="1" t="s">
        <v>4650</v>
      </c>
      <c r="J1717" s="1" t="s">
        <v>4671</v>
      </c>
      <c r="K1717" s="1" t="n">
        <f aca="false">IF(Search!$D$5="",0,IF(AND(OR(Search!$N$5="",ISNUMBER(SEARCH(Search!$N$5,J1717))),OR(Search!$N$6="",ISNUMBER(SEARCH(Search!$N$6,J1717))),OR(Search!$N$7="",ISNUMBER(SEARCH(Search!$N$7,J1717))),OR(Search!$N$8="",ISNUMBER(SEARCH(Search!$N$8,J1717)))),1,0))</f>
        <v>0</v>
      </c>
      <c r="L1717" s="1" t="n">
        <f aca="false">L1716+K1717</f>
        <v>0</v>
      </c>
    </row>
    <row r="1718" customFormat="false" ht="15" hidden="false" customHeight="true" outlineLevel="0" collapsed="false">
      <c r="A1718" s="1" t="s">
        <v>349</v>
      </c>
      <c r="B1718" s="1" t="s">
        <v>229</v>
      </c>
      <c r="C1718" s="1" t="n">
        <v>16</v>
      </c>
      <c r="E1718" s="1" t="s">
        <v>4667</v>
      </c>
      <c r="G1718" s="1" t="s">
        <v>4668</v>
      </c>
      <c r="H1718" s="1" t="s">
        <v>4646</v>
      </c>
      <c r="I1718" s="1" t="s">
        <v>4650</v>
      </c>
      <c r="J1718" s="1" t="s">
        <v>4669</v>
      </c>
      <c r="K1718" s="1" t="n">
        <f aca="false">IF(Search!$D$5="",0,IF(AND(OR(Search!$N$5="",ISNUMBER(SEARCH(Search!$N$5,J1718))),OR(Search!$N$6="",ISNUMBER(SEARCH(Search!$N$6,J1718))),OR(Search!$N$7="",ISNUMBER(SEARCH(Search!$N$7,J1718))),OR(Search!$N$8="",ISNUMBER(SEARCH(Search!$N$8,J1718)))),1,0))</f>
        <v>0</v>
      </c>
      <c r="L1718" s="1" t="n">
        <f aca="false">L1717+K1718</f>
        <v>0</v>
      </c>
    </row>
    <row r="1719" customFormat="false" ht="15" hidden="false" customHeight="true" outlineLevel="0" collapsed="false">
      <c r="A1719" s="1" t="s">
        <v>349</v>
      </c>
      <c r="B1719" s="1" t="s">
        <v>229</v>
      </c>
      <c r="C1719" s="1" t="n">
        <v>17</v>
      </c>
      <c r="E1719" s="1" t="s">
        <v>4672</v>
      </c>
      <c r="G1719" s="1" t="s">
        <v>4673</v>
      </c>
      <c r="H1719" s="1" t="s">
        <v>4646</v>
      </c>
      <c r="I1719" s="1" t="s">
        <v>4650</v>
      </c>
      <c r="J1719" s="1" t="s">
        <v>4674</v>
      </c>
      <c r="K1719" s="1" t="n">
        <f aca="false">IF(Search!$D$5="",0,IF(AND(OR(Search!$N$5="",ISNUMBER(SEARCH(Search!$N$5,J1719))),OR(Search!$N$6="",ISNUMBER(SEARCH(Search!$N$6,J1719))),OR(Search!$N$7="",ISNUMBER(SEARCH(Search!$N$7,J1719))),OR(Search!$N$8="",ISNUMBER(SEARCH(Search!$N$8,J1719)))),1,0))</f>
        <v>0</v>
      </c>
      <c r="L1719" s="1" t="n">
        <f aca="false">L1718+K1719</f>
        <v>0</v>
      </c>
    </row>
    <row r="1720" customFormat="false" ht="15" hidden="false" customHeight="true" outlineLevel="0" collapsed="false">
      <c r="A1720" s="1" t="s">
        <v>349</v>
      </c>
      <c r="B1720" s="1" t="s">
        <v>229</v>
      </c>
      <c r="C1720" s="1" t="n">
        <v>18</v>
      </c>
      <c r="E1720" s="1" t="s">
        <v>4672</v>
      </c>
      <c r="G1720" s="1" t="s">
        <v>4675</v>
      </c>
      <c r="H1720" s="1" t="s">
        <v>4646</v>
      </c>
      <c r="I1720" s="1" t="s">
        <v>4650</v>
      </c>
      <c r="J1720" s="1" t="s">
        <v>4676</v>
      </c>
      <c r="K1720" s="1" t="n">
        <f aca="false">IF(Search!$D$5="",0,IF(AND(OR(Search!$N$5="",ISNUMBER(SEARCH(Search!$N$5,J1720))),OR(Search!$N$6="",ISNUMBER(SEARCH(Search!$N$6,J1720))),OR(Search!$N$7="",ISNUMBER(SEARCH(Search!$N$7,J1720))),OR(Search!$N$8="",ISNUMBER(SEARCH(Search!$N$8,J1720)))),1,0))</f>
        <v>0</v>
      </c>
      <c r="L1720" s="1" t="n">
        <f aca="false">L1719+K1720</f>
        <v>0</v>
      </c>
    </row>
    <row r="1721" customFormat="false" ht="15" hidden="false" customHeight="true" outlineLevel="0" collapsed="false">
      <c r="A1721" s="1" t="s">
        <v>349</v>
      </c>
      <c r="B1721" s="1" t="s">
        <v>229</v>
      </c>
      <c r="C1721" s="1" t="n">
        <v>19</v>
      </c>
      <c r="E1721" s="1" t="s">
        <v>4677</v>
      </c>
      <c r="G1721" s="1" t="s">
        <v>4678</v>
      </c>
      <c r="H1721" s="1" t="s">
        <v>4646</v>
      </c>
      <c r="I1721" s="1" t="s">
        <v>4650</v>
      </c>
      <c r="J1721" s="1" t="s">
        <v>4679</v>
      </c>
      <c r="K1721" s="1" t="n">
        <f aca="false">IF(Search!$D$5="",0,IF(AND(OR(Search!$N$5="",ISNUMBER(SEARCH(Search!$N$5,J1721))),OR(Search!$N$6="",ISNUMBER(SEARCH(Search!$N$6,J1721))),OR(Search!$N$7="",ISNUMBER(SEARCH(Search!$N$7,J1721))),OR(Search!$N$8="",ISNUMBER(SEARCH(Search!$N$8,J1721)))),1,0))</f>
        <v>0</v>
      </c>
      <c r="L1721" s="1" t="n">
        <f aca="false">L1720+K1721</f>
        <v>0</v>
      </c>
    </row>
    <row r="1722" customFormat="false" ht="15" hidden="false" customHeight="true" outlineLevel="0" collapsed="false">
      <c r="A1722" s="1" t="s">
        <v>349</v>
      </c>
      <c r="B1722" s="1" t="s">
        <v>229</v>
      </c>
      <c r="C1722" s="1" t="n">
        <v>20</v>
      </c>
      <c r="E1722" s="1" t="s">
        <v>4677</v>
      </c>
      <c r="G1722" s="1" t="s">
        <v>4680</v>
      </c>
      <c r="H1722" s="1" t="s">
        <v>4646</v>
      </c>
      <c r="I1722" s="1" t="s">
        <v>4650</v>
      </c>
      <c r="J1722" s="1" t="s">
        <v>4681</v>
      </c>
      <c r="K1722" s="1" t="n">
        <f aca="false">IF(Search!$D$5="",0,IF(AND(OR(Search!$N$5="",ISNUMBER(SEARCH(Search!$N$5,J1722))),OR(Search!$N$6="",ISNUMBER(SEARCH(Search!$N$6,J1722))),OR(Search!$N$7="",ISNUMBER(SEARCH(Search!$N$7,J1722))),OR(Search!$N$8="",ISNUMBER(SEARCH(Search!$N$8,J1722)))),1,0))</f>
        <v>0</v>
      </c>
      <c r="L1722" s="1" t="n">
        <f aca="false">L1721+K1722</f>
        <v>0</v>
      </c>
    </row>
    <row r="1723" customFormat="false" ht="15" hidden="false" customHeight="true" outlineLevel="0" collapsed="false">
      <c r="A1723" s="1" t="s">
        <v>349</v>
      </c>
      <c r="B1723" s="1" t="s">
        <v>229</v>
      </c>
      <c r="C1723" s="1" t="n">
        <v>21</v>
      </c>
      <c r="E1723" s="1" t="s">
        <v>4682</v>
      </c>
      <c r="G1723" s="1" t="s">
        <v>4683</v>
      </c>
      <c r="H1723" s="1" t="s">
        <v>4646</v>
      </c>
      <c r="I1723" s="1" t="s">
        <v>4650</v>
      </c>
      <c r="J1723" s="1" t="s">
        <v>4684</v>
      </c>
      <c r="K1723" s="1" t="n">
        <f aca="false">IF(Search!$D$5="",0,IF(AND(OR(Search!$N$5="",ISNUMBER(SEARCH(Search!$N$5,J1723))),OR(Search!$N$6="",ISNUMBER(SEARCH(Search!$N$6,J1723))),OR(Search!$N$7="",ISNUMBER(SEARCH(Search!$N$7,J1723))),OR(Search!$N$8="",ISNUMBER(SEARCH(Search!$N$8,J1723)))),1,0))</f>
        <v>0</v>
      </c>
      <c r="L1723" s="1" t="n">
        <f aca="false">L1722+K1723</f>
        <v>0</v>
      </c>
    </row>
    <row r="1724" customFormat="false" ht="15" hidden="false" customHeight="true" outlineLevel="0" collapsed="false">
      <c r="A1724" s="1" t="s">
        <v>349</v>
      </c>
      <c r="B1724" s="1" t="s">
        <v>229</v>
      </c>
      <c r="C1724" s="1" t="n">
        <v>22</v>
      </c>
      <c r="E1724" s="1" t="s">
        <v>4685</v>
      </c>
      <c r="G1724" s="1" t="s">
        <v>4686</v>
      </c>
      <c r="H1724" s="1" t="s">
        <v>4646</v>
      </c>
      <c r="I1724" s="1" t="s">
        <v>4650</v>
      </c>
      <c r="J1724" s="1" t="s">
        <v>4687</v>
      </c>
      <c r="K1724" s="1" t="n">
        <f aca="false">IF(Search!$D$5="",0,IF(AND(OR(Search!$N$5="",ISNUMBER(SEARCH(Search!$N$5,J1724))),OR(Search!$N$6="",ISNUMBER(SEARCH(Search!$N$6,J1724))),OR(Search!$N$7="",ISNUMBER(SEARCH(Search!$N$7,J1724))),OR(Search!$N$8="",ISNUMBER(SEARCH(Search!$N$8,J1724)))),1,0))</f>
        <v>0</v>
      </c>
      <c r="L1724" s="1" t="n">
        <f aca="false">L1723+K1724</f>
        <v>0</v>
      </c>
    </row>
    <row r="1725" customFormat="false" ht="15" hidden="false" customHeight="true" outlineLevel="0" collapsed="false">
      <c r="A1725" s="1" t="s">
        <v>349</v>
      </c>
      <c r="B1725" s="1" t="s">
        <v>229</v>
      </c>
      <c r="C1725" s="1" t="n">
        <v>23</v>
      </c>
      <c r="E1725" s="1" t="s">
        <v>4685</v>
      </c>
      <c r="G1725" s="1" t="s">
        <v>4688</v>
      </c>
      <c r="H1725" s="1" t="s">
        <v>4646</v>
      </c>
      <c r="I1725" s="1" t="s">
        <v>4650</v>
      </c>
      <c r="J1725" s="1" t="s">
        <v>4689</v>
      </c>
      <c r="K1725" s="1" t="n">
        <f aca="false">IF(Search!$D$5="",0,IF(AND(OR(Search!$N$5="",ISNUMBER(SEARCH(Search!$N$5,J1725))),OR(Search!$N$6="",ISNUMBER(SEARCH(Search!$N$6,J1725))),OR(Search!$N$7="",ISNUMBER(SEARCH(Search!$N$7,J1725))),OR(Search!$N$8="",ISNUMBER(SEARCH(Search!$N$8,J1725)))),1,0))</f>
        <v>0</v>
      </c>
      <c r="L1725" s="1" t="n">
        <f aca="false">L1724+K1725</f>
        <v>0</v>
      </c>
    </row>
    <row r="1726" customFormat="false" ht="15" hidden="false" customHeight="true" outlineLevel="0" collapsed="false">
      <c r="A1726" s="1" t="s">
        <v>349</v>
      </c>
      <c r="B1726" s="1" t="s">
        <v>229</v>
      </c>
      <c r="C1726" s="1" t="n">
        <v>24</v>
      </c>
      <c r="E1726" s="1" t="s">
        <v>4690</v>
      </c>
      <c r="G1726" s="1" t="s">
        <v>4691</v>
      </c>
      <c r="H1726" s="1" t="s">
        <v>4646</v>
      </c>
      <c r="I1726" s="1" t="s">
        <v>4650</v>
      </c>
      <c r="J1726" s="1" t="s">
        <v>4692</v>
      </c>
      <c r="K1726" s="1" t="n">
        <f aca="false">IF(Search!$D$5="",0,IF(AND(OR(Search!$N$5="",ISNUMBER(SEARCH(Search!$N$5,J1726))),OR(Search!$N$6="",ISNUMBER(SEARCH(Search!$N$6,J1726))),OR(Search!$N$7="",ISNUMBER(SEARCH(Search!$N$7,J1726))),OR(Search!$N$8="",ISNUMBER(SEARCH(Search!$N$8,J1726)))),1,0))</f>
        <v>0</v>
      </c>
      <c r="L1726" s="1" t="n">
        <f aca="false">L1725+K1726</f>
        <v>0</v>
      </c>
    </row>
    <row r="1727" customFormat="false" ht="15" hidden="false" customHeight="true" outlineLevel="0" collapsed="false">
      <c r="A1727" s="1" t="s">
        <v>349</v>
      </c>
      <c r="B1727" s="1" t="s">
        <v>229</v>
      </c>
      <c r="C1727" s="1" t="n">
        <v>25</v>
      </c>
      <c r="E1727" s="1" t="s">
        <v>4693</v>
      </c>
      <c r="G1727" s="1" t="s">
        <v>4694</v>
      </c>
      <c r="H1727" s="1" t="s">
        <v>4646</v>
      </c>
      <c r="I1727" s="1" t="s">
        <v>4650</v>
      </c>
      <c r="J1727" s="1" t="s">
        <v>4695</v>
      </c>
      <c r="K1727" s="1" t="n">
        <f aca="false">IF(Search!$D$5="",0,IF(AND(OR(Search!$N$5="",ISNUMBER(SEARCH(Search!$N$5,J1727))),OR(Search!$N$6="",ISNUMBER(SEARCH(Search!$N$6,J1727))),OR(Search!$N$7="",ISNUMBER(SEARCH(Search!$N$7,J1727))),OR(Search!$N$8="",ISNUMBER(SEARCH(Search!$N$8,J1727)))),1,0))</f>
        <v>0</v>
      </c>
      <c r="L1727" s="1" t="n">
        <f aca="false">L1726+K1727</f>
        <v>0</v>
      </c>
    </row>
    <row r="1728" customFormat="false" ht="15" hidden="false" customHeight="true" outlineLevel="0" collapsed="false">
      <c r="A1728" s="1" t="s">
        <v>34</v>
      </c>
      <c r="B1728" s="1" t="s">
        <v>229</v>
      </c>
      <c r="C1728" s="1" t="n">
        <v>2</v>
      </c>
      <c r="E1728" s="1" t="s">
        <v>4696</v>
      </c>
      <c r="J1728" s="1" t="s">
        <v>4696</v>
      </c>
      <c r="K1728" s="1" t="n">
        <f aca="false">IF(Search!$D$5="",0,IF(AND(OR(Search!$N$5="",ISNUMBER(SEARCH(Search!$N$5,J1728))),OR(Search!$N$6="",ISNUMBER(SEARCH(Search!$N$6,J1728))),OR(Search!$N$7="",ISNUMBER(SEARCH(Search!$N$7,J1728))),OR(Search!$N$8="",ISNUMBER(SEARCH(Search!$N$8,J1728)))),1,0))</f>
        <v>0</v>
      </c>
      <c r="L1728" s="1" t="n">
        <f aca="false">L1727+K1728</f>
        <v>0</v>
      </c>
    </row>
    <row r="1729" customFormat="false" ht="15" hidden="false" customHeight="true" outlineLevel="0" collapsed="false">
      <c r="A1729" s="1" t="s">
        <v>34</v>
      </c>
      <c r="B1729" s="1" t="s">
        <v>229</v>
      </c>
      <c r="C1729" s="1" t="n">
        <v>4</v>
      </c>
      <c r="E1729" s="1" t="s">
        <v>4697</v>
      </c>
      <c r="F1729" s="1" t="s">
        <v>4698</v>
      </c>
      <c r="G1729" s="1" t="s">
        <v>40</v>
      </c>
      <c r="H1729" s="1" t="s">
        <v>913</v>
      </c>
      <c r="J1729" s="1" t="s">
        <v>4699</v>
      </c>
      <c r="K1729" s="1" t="n">
        <f aca="false">IF(Search!$D$5="",0,IF(AND(OR(Search!$N$5="",ISNUMBER(SEARCH(Search!$N$5,J1729))),OR(Search!$N$6="",ISNUMBER(SEARCH(Search!$N$6,J1729))),OR(Search!$N$7="",ISNUMBER(SEARCH(Search!$N$7,J1729))),OR(Search!$N$8="",ISNUMBER(SEARCH(Search!$N$8,J1729)))),1,0))</f>
        <v>0</v>
      </c>
      <c r="L1729" s="1" t="n">
        <f aca="false">L1728+K1729</f>
        <v>0</v>
      </c>
    </row>
    <row r="1730" customFormat="false" ht="15" hidden="false" customHeight="true" outlineLevel="0" collapsed="false">
      <c r="A1730" s="1" t="s">
        <v>34</v>
      </c>
      <c r="B1730" s="1" t="s">
        <v>229</v>
      </c>
      <c r="C1730" s="1" t="n">
        <v>5</v>
      </c>
      <c r="E1730" s="1" t="s">
        <v>4700</v>
      </c>
      <c r="F1730" s="1" t="s">
        <v>4701</v>
      </c>
      <c r="G1730" s="1" t="s">
        <v>4702</v>
      </c>
      <c r="H1730" s="1" t="s">
        <v>4703</v>
      </c>
      <c r="J1730" s="1" t="s">
        <v>4704</v>
      </c>
      <c r="K1730" s="1" t="n">
        <f aca="false">IF(Search!$D$5="",0,IF(AND(OR(Search!$N$5="",ISNUMBER(SEARCH(Search!$N$5,J1730))),OR(Search!$N$6="",ISNUMBER(SEARCH(Search!$N$6,J1730))),OR(Search!$N$7="",ISNUMBER(SEARCH(Search!$N$7,J1730))),OR(Search!$N$8="",ISNUMBER(SEARCH(Search!$N$8,J1730)))),1,0))</f>
        <v>0</v>
      </c>
      <c r="L1730" s="1" t="n">
        <f aca="false">L1729+K1730</f>
        <v>0</v>
      </c>
    </row>
    <row r="1731" customFormat="false" ht="15" hidden="false" customHeight="true" outlineLevel="0" collapsed="false">
      <c r="A1731" s="1" t="s">
        <v>34</v>
      </c>
      <c r="B1731" s="1" t="s">
        <v>229</v>
      </c>
      <c r="C1731" s="1" t="n">
        <v>6</v>
      </c>
      <c r="E1731" s="1" t="s">
        <v>4705</v>
      </c>
      <c r="F1731" s="1" t="s">
        <v>4706</v>
      </c>
      <c r="G1731" s="1" t="s">
        <v>4702</v>
      </c>
      <c r="H1731" s="1" t="s">
        <v>4707</v>
      </c>
      <c r="J1731" s="1" t="s">
        <v>4708</v>
      </c>
      <c r="K1731" s="1" t="n">
        <f aca="false">IF(Search!$D$5="",0,IF(AND(OR(Search!$N$5="",ISNUMBER(SEARCH(Search!$N$5,J1731))),OR(Search!$N$6="",ISNUMBER(SEARCH(Search!$N$6,J1731))),OR(Search!$N$7="",ISNUMBER(SEARCH(Search!$N$7,J1731))),OR(Search!$N$8="",ISNUMBER(SEARCH(Search!$N$8,J1731)))),1,0))</f>
        <v>0</v>
      </c>
      <c r="L1731" s="1" t="n">
        <f aca="false">L1730+K1731</f>
        <v>0</v>
      </c>
    </row>
    <row r="1732" customFormat="false" ht="15" hidden="false" customHeight="true" outlineLevel="0" collapsed="false">
      <c r="A1732" s="1" t="s">
        <v>34</v>
      </c>
      <c r="B1732" s="1" t="s">
        <v>229</v>
      </c>
      <c r="C1732" s="1" t="n">
        <v>7</v>
      </c>
      <c r="E1732" s="1" t="s">
        <v>4709</v>
      </c>
      <c r="F1732" s="1" t="s">
        <v>4710</v>
      </c>
      <c r="G1732" s="1" t="s">
        <v>4702</v>
      </c>
      <c r="H1732" s="1" t="s">
        <v>4711</v>
      </c>
      <c r="J1732" s="1" t="s">
        <v>4712</v>
      </c>
      <c r="K1732" s="1" t="n">
        <f aca="false">IF(Search!$D$5="",0,IF(AND(OR(Search!$N$5="",ISNUMBER(SEARCH(Search!$N$5,J1732))),OR(Search!$N$6="",ISNUMBER(SEARCH(Search!$N$6,J1732))),OR(Search!$N$7="",ISNUMBER(SEARCH(Search!$N$7,J1732))),OR(Search!$N$8="",ISNUMBER(SEARCH(Search!$N$8,J1732)))),1,0))</f>
        <v>0</v>
      </c>
      <c r="L1732" s="1" t="n">
        <f aca="false">L1731+K1732</f>
        <v>0</v>
      </c>
    </row>
    <row r="1733" customFormat="false" ht="15" hidden="false" customHeight="true" outlineLevel="0" collapsed="false">
      <c r="A1733" s="1" t="s">
        <v>34</v>
      </c>
      <c r="B1733" s="1" t="s">
        <v>229</v>
      </c>
      <c r="C1733" s="1" t="n">
        <v>8</v>
      </c>
      <c r="E1733" s="1" t="s">
        <v>4713</v>
      </c>
      <c r="F1733" s="1" t="s">
        <v>4714</v>
      </c>
      <c r="G1733" s="1" t="s">
        <v>4715</v>
      </c>
      <c r="H1733" s="1" t="s">
        <v>4716</v>
      </c>
      <c r="J1733" s="1" t="s">
        <v>4717</v>
      </c>
      <c r="K1733" s="1" t="n">
        <f aca="false">IF(Search!$D$5="",0,IF(AND(OR(Search!$N$5="",ISNUMBER(SEARCH(Search!$N$5,J1733))),OR(Search!$N$6="",ISNUMBER(SEARCH(Search!$N$6,J1733))),OR(Search!$N$7="",ISNUMBER(SEARCH(Search!$N$7,J1733))),OR(Search!$N$8="",ISNUMBER(SEARCH(Search!$N$8,J1733)))),1,0))</f>
        <v>0</v>
      </c>
      <c r="L1733" s="1" t="n">
        <f aca="false">L1732+K1733</f>
        <v>0</v>
      </c>
    </row>
    <row r="1734" customFormat="false" ht="15" hidden="false" customHeight="true" outlineLevel="0" collapsed="false">
      <c r="A1734" s="1" t="s">
        <v>34</v>
      </c>
      <c r="B1734" s="1" t="s">
        <v>229</v>
      </c>
      <c r="C1734" s="1" t="n">
        <v>9</v>
      </c>
      <c r="E1734" s="1" t="s">
        <v>4718</v>
      </c>
      <c r="F1734" s="1" t="s">
        <v>4719</v>
      </c>
      <c r="G1734" s="1" t="s">
        <v>4715</v>
      </c>
      <c r="H1734" s="1" t="s">
        <v>4720</v>
      </c>
      <c r="J1734" s="1" t="s">
        <v>4721</v>
      </c>
      <c r="K1734" s="1" t="n">
        <f aca="false">IF(Search!$D$5="",0,IF(AND(OR(Search!$N$5="",ISNUMBER(SEARCH(Search!$N$5,J1734))),OR(Search!$N$6="",ISNUMBER(SEARCH(Search!$N$6,J1734))),OR(Search!$N$7="",ISNUMBER(SEARCH(Search!$N$7,J1734))),OR(Search!$N$8="",ISNUMBER(SEARCH(Search!$N$8,J1734)))),1,0))</f>
        <v>0</v>
      </c>
      <c r="L1734" s="1" t="n">
        <f aca="false">L1733+K1734</f>
        <v>0</v>
      </c>
    </row>
    <row r="1735" customFormat="false" ht="15" hidden="false" customHeight="true" outlineLevel="0" collapsed="false">
      <c r="A1735" s="1" t="s">
        <v>34</v>
      </c>
      <c r="B1735" s="1" t="s">
        <v>229</v>
      </c>
      <c r="C1735" s="1" t="n">
        <v>10</v>
      </c>
      <c r="E1735" s="1" t="s">
        <v>4722</v>
      </c>
      <c r="F1735" s="1" t="s">
        <v>4723</v>
      </c>
      <c r="G1735" s="1" t="s">
        <v>4715</v>
      </c>
      <c r="H1735" s="1" t="s">
        <v>4724</v>
      </c>
      <c r="J1735" s="1" t="s">
        <v>4725</v>
      </c>
      <c r="K1735" s="1" t="n">
        <f aca="false">IF(Search!$D$5="",0,IF(AND(OR(Search!$N$5="",ISNUMBER(SEARCH(Search!$N$5,J1735))),OR(Search!$N$6="",ISNUMBER(SEARCH(Search!$N$6,J1735))),OR(Search!$N$7="",ISNUMBER(SEARCH(Search!$N$7,J1735))),OR(Search!$N$8="",ISNUMBER(SEARCH(Search!$N$8,J1735)))),1,0))</f>
        <v>0</v>
      </c>
      <c r="L1735" s="1" t="n">
        <f aca="false">L1734+K1735</f>
        <v>0</v>
      </c>
    </row>
    <row r="1736" customFormat="false" ht="15" hidden="false" customHeight="true" outlineLevel="0" collapsed="false">
      <c r="A1736" s="1" t="s">
        <v>34</v>
      </c>
      <c r="B1736" s="1" t="s">
        <v>229</v>
      </c>
      <c r="C1736" s="1" t="n">
        <v>11</v>
      </c>
      <c r="E1736" s="1" t="s">
        <v>4726</v>
      </c>
      <c r="F1736" s="1" t="s">
        <v>4727</v>
      </c>
      <c r="G1736" s="1" t="s">
        <v>24</v>
      </c>
      <c r="H1736" s="1" t="s">
        <v>4728</v>
      </c>
      <c r="J1736" s="1" t="s">
        <v>4729</v>
      </c>
      <c r="K1736" s="1" t="n">
        <f aca="false">IF(Search!$D$5="",0,IF(AND(OR(Search!$N$5="",ISNUMBER(SEARCH(Search!$N$5,J1736))),OR(Search!$N$6="",ISNUMBER(SEARCH(Search!$N$6,J1736))),OR(Search!$N$7="",ISNUMBER(SEARCH(Search!$N$7,J1736))),OR(Search!$N$8="",ISNUMBER(SEARCH(Search!$N$8,J1736)))),1,0))</f>
        <v>0</v>
      </c>
      <c r="L1736" s="1" t="n">
        <f aca="false">L1735+K1736</f>
        <v>0</v>
      </c>
    </row>
    <row r="1737" customFormat="false" ht="15" hidden="false" customHeight="true" outlineLevel="0" collapsed="false">
      <c r="A1737" s="1" t="s">
        <v>34</v>
      </c>
      <c r="B1737" s="1" t="s">
        <v>229</v>
      </c>
      <c r="C1737" s="1" t="n">
        <v>12</v>
      </c>
      <c r="E1737" s="1" t="s">
        <v>4730</v>
      </c>
      <c r="F1737" s="1" t="s">
        <v>4731</v>
      </c>
      <c r="G1737" s="1" t="s">
        <v>4732</v>
      </c>
      <c r="H1737" s="1" t="s">
        <v>4733</v>
      </c>
      <c r="J1737" s="1" t="s">
        <v>4734</v>
      </c>
      <c r="K1737" s="1" t="n">
        <f aca="false">IF(Search!$D$5="",0,IF(AND(OR(Search!$N$5="",ISNUMBER(SEARCH(Search!$N$5,J1737))),OR(Search!$N$6="",ISNUMBER(SEARCH(Search!$N$6,J1737))),OR(Search!$N$7="",ISNUMBER(SEARCH(Search!$N$7,J1737))),OR(Search!$N$8="",ISNUMBER(SEARCH(Search!$N$8,J1737)))),1,0))</f>
        <v>0</v>
      </c>
      <c r="L1737" s="1" t="n">
        <f aca="false">L1736+K1737</f>
        <v>0</v>
      </c>
    </row>
    <row r="1738" customFormat="false" ht="15" hidden="false" customHeight="true" outlineLevel="0" collapsed="false">
      <c r="A1738" s="1" t="s">
        <v>34</v>
      </c>
      <c r="B1738" s="1" t="s">
        <v>229</v>
      </c>
      <c r="C1738" s="1" t="n">
        <v>13</v>
      </c>
      <c r="E1738" s="1" t="s">
        <v>4735</v>
      </c>
      <c r="F1738" s="1" t="s">
        <v>4736</v>
      </c>
      <c r="G1738" s="1" t="s">
        <v>4732</v>
      </c>
      <c r="H1738" s="1" t="s">
        <v>4737</v>
      </c>
      <c r="J1738" s="1" t="s">
        <v>4738</v>
      </c>
      <c r="K1738" s="1" t="n">
        <f aca="false">IF(Search!$D$5="",0,IF(AND(OR(Search!$N$5="",ISNUMBER(SEARCH(Search!$N$5,J1738))),OR(Search!$N$6="",ISNUMBER(SEARCH(Search!$N$6,J1738))),OR(Search!$N$7="",ISNUMBER(SEARCH(Search!$N$7,J1738))),OR(Search!$N$8="",ISNUMBER(SEARCH(Search!$N$8,J1738)))),1,0))</f>
        <v>0</v>
      </c>
      <c r="L1738" s="1" t="n">
        <f aca="false">L1737+K1738</f>
        <v>0</v>
      </c>
    </row>
    <row r="1739" customFormat="false" ht="15" hidden="false" customHeight="true" outlineLevel="0" collapsed="false">
      <c r="A1739" s="1" t="s">
        <v>34</v>
      </c>
      <c r="B1739" s="1" t="s">
        <v>229</v>
      </c>
      <c r="C1739" s="1" t="n">
        <v>14</v>
      </c>
      <c r="E1739" s="1" t="s">
        <v>4739</v>
      </c>
      <c r="F1739" s="1" t="s">
        <v>4740</v>
      </c>
      <c r="G1739" s="1" t="s">
        <v>4741</v>
      </c>
      <c r="H1739" s="1" t="s">
        <v>4742</v>
      </c>
      <c r="J1739" s="1" t="s">
        <v>4743</v>
      </c>
      <c r="K1739" s="1" t="n">
        <f aca="false">IF(Search!$D$5="",0,IF(AND(OR(Search!$N$5="",ISNUMBER(SEARCH(Search!$N$5,J1739))),OR(Search!$N$6="",ISNUMBER(SEARCH(Search!$N$6,J1739))),OR(Search!$N$7="",ISNUMBER(SEARCH(Search!$N$7,J1739))),OR(Search!$N$8="",ISNUMBER(SEARCH(Search!$N$8,J1739)))),1,0))</f>
        <v>0</v>
      </c>
      <c r="L1739" s="1" t="n">
        <f aca="false">L1738+K1739</f>
        <v>0</v>
      </c>
    </row>
    <row r="1740" customFormat="false" ht="15" hidden="false" customHeight="true" outlineLevel="0" collapsed="false">
      <c r="A1740" s="1" t="s">
        <v>34</v>
      </c>
      <c r="B1740" s="1" t="s">
        <v>229</v>
      </c>
      <c r="C1740" s="1" t="n">
        <v>15</v>
      </c>
      <c r="E1740" s="1" t="s">
        <v>4744</v>
      </c>
      <c r="F1740" s="1" t="s">
        <v>4745</v>
      </c>
      <c r="G1740" s="1" t="s">
        <v>4741</v>
      </c>
      <c r="H1740" s="1" t="s">
        <v>4746</v>
      </c>
      <c r="J1740" s="1" t="s">
        <v>4747</v>
      </c>
      <c r="K1740" s="1" t="n">
        <f aca="false">IF(Search!$D$5="",0,IF(AND(OR(Search!$N$5="",ISNUMBER(SEARCH(Search!$N$5,J1740))),OR(Search!$N$6="",ISNUMBER(SEARCH(Search!$N$6,J1740))),OR(Search!$N$7="",ISNUMBER(SEARCH(Search!$N$7,J1740))),OR(Search!$N$8="",ISNUMBER(SEARCH(Search!$N$8,J1740)))),1,0))</f>
        <v>0</v>
      </c>
      <c r="L1740" s="1" t="n">
        <f aca="false">L1739+K1740</f>
        <v>0</v>
      </c>
    </row>
    <row r="1741" customFormat="false" ht="15" hidden="false" customHeight="true" outlineLevel="0" collapsed="false">
      <c r="A1741" s="1" t="s">
        <v>34</v>
      </c>
      <c r="B1741" s="1" t="s">
        <v>229</v>
      </c>
      <c r="C1741" s="1" t="n">
        <v>16</v>
      </c>
      <c r="E1741" s="1" t="s">
        <v>4748</v>
      </c>
      <c r="F1741" s="1" t="s">
        <v>4749</v>
      </c>
      <c r="G1741" s="1" t="s">
        <v>4741</v>
      </c>
      <c r="H1741" s="1" t="s">
        <v>4750</v>
      </c>
      <c r="J1741" s="1" t="s">
        <v>4751</v>
      </c>
      <c r="K1741" s="1" t="n">
        <f aca="false">IF(Search!$D$5="",0,IF(AND(OR(Search!$N$5="",ISNUMBER(SEARCH(Search!$N$5,J1741))),OR(Search!$N$6="",ISNUMBER(SEARCH(Search!$N$6,J1741))),OR(Search!$N$7="",ISNUMBER(SEARCH(Search!$N$7,J1741))),OR(Search!$N$8="",ISNUMBER(SEARCH(Search!$N$8,J1741)))),1,0))</f>
        <v>0</v>
      </c>
      <c r="L1741" s="1" t="n">
        <f aca="false">L1740+K1741</f>
        <v>0</v>
      </c>
    </row>
    <row r="1742" customFormat="false" ht="15" hidden="false" customHeight="true" outlineLevel="0" collapsed="false">
      <c r="A1742" s="1" t="s">
        <v>34</v>
      </c>
      <c r="B1742" s="1" t="s">
        <v>229</v>
      </c>
      <c r="C1742" s="1" t="n">
        <v>17</v>
      </c>
      <c r="E1742" s="1" t="s">
        <v>4668</v>
      </c>
      <c r="F1742" s="1" t="s">
        <v>4752</v>
      </c>
      <c r="G1742" s="1" t="s">
        <v>4753</v>
      </c>
      <c r="H1742" s="1" t="s">
        <v>4754</v>
      </c>
      <c r="J1742" s="1" t="s">
        <v>4755</v>
      </c>
      <c r="K1742" s="1" t="n">
        <f aca="false">IF(Search!$D$5="",0,IF(AND(OR(Search!$N$5="",ISNUMBER(SEARCH(Search!$N$5,J1742))),OR(Search!$N$6="",ISNUMBER(SEARCH(Search!$N$6,J1742))),OR(Search!$N$7="",ISNUMBER(SEARCH(Search!$N$7,J1742))),OR(Search!$N$8="",ISNUMBER(SEARCH(Search!$N$8,J1742)))),1,0))</f>
        <v>0</v>
      </c>
      <c r="L1742" s="1" t="n">
        <f aca="false">L1741+K1742</f>
        <v>0</v>
      </c>
    </row>
    <row r="1743" customFormat="false" ht="15" hidden="false" customHeight="true" outlineLevel="0" collapsed="false">
      <c r="A1743" s="1" t="s">
        <v>34</v>
      </c>
      <c r="B1743" s="1" t="s">
        <v>229</v>
      </c>
      <c r="C1743" s="1" t="n">
        <v>18</v>
      </c>
      <c r="E1743" s="1" t="s">
        <v>4673</v>
      </c>
      <c r="F1743" s="1" t="s">
        <v>4756</v>
      </c>
      <c r="G1743" s="1" t="s">
        <v>4753</v>
      </c>
      <c r="H1743" s="1" t="s">
        <v>4757</v>
      </c>
      <c r="J1743" s="1" t="s">
        <v>4758</v>
      </c>
      <c r="K1743" s="1" t="n">
        <f aca="false">IF(Search!$D$5="",0,IF(AND(OR(Search!$N$5="",ISNUMBER(SEARCH(Search!$N$5,J1743))),OR(Search!$N$6="",ISNUMBER(SEARCH(Search!$N$6,J1743))),OR(Search!$N$7="",ISNUMBER(SEARCH(Search!$N$7,J1743))),OR(Search!$N$8="",ISNUMBER(SEARCH(Search!$N$8,J1743)))),1,0))</f>
        <v>0</v>
      </c>
      <c r="L1743" s="1" t="n">
        <f aca="false">L1742+K1743</f>
        <v>0</v>
      </c>
    </row>
    <row r="1744" customFormat="false" ht="15" hidden="false" customHeight="true" outlineLevel="0" collapsed="false">
      <c r="A1744" s="1" t="s">
        <v>34</v>
      </c>
      <c r="B1744" s="1" t="s">
        <v>229</v>
      </c>
      <c r="C1744" s="1" t="n">
        <v>19</v>
      </c>
      <c r="E1744" s="1" t="s">
        <v>4759</v>
      </c>
      <c r="F1744" s="1" t="s">
        <v>4760</v>
      </c>
      <c r="G1744" s="1" t="s">
        <v>4753</v>
      </c>
      <c r="H1744" s="1" t="s">
        <v>4761</v>
      </c>
      <c r="J1744" s="1" t="s">
        <v>4762</v>
      </c>
      <c r="K1744" s="1" t="n">
        <f aca="false">IF(Search!$D$5="",0,IF(AND(OR(Search!$N$5="",ISNUMBER(SEARCH(Search!$N$5,J1744))),OR(Search!$N$6="",ISNUMBER(SEARCH(Search!$N$6,J1744))),OR(Search!$N$7="",ISNUMBER(SEARCH(Search!$N$7,J1744))),OR(Search!$N$8="",ISNUMBER(SEARCH(Search!$N$8,J1744)))),1,0))</f>
        <v>0</v>
      </c>
      <c r="L1744" s="1" t="n">
        <f aca="false">L1743+K1744</f>
        <v>0</v>
      </c>
    </row>
    <row r="1745" customFormat="false" ht="15" hidden="false" customHeight="true" outlineLevel="0" collapsed="false">
      <c r="A1745" s="1" t="s">
        <v>34</v>
      </c>
      <c r="B1745" s="1" t="s">
        <v>229</v>
      </c>
      <c r="C1745" s="1" t="n">
        <v>20</v>
      </c>
      <c r="E1745" s="1" t="s">
        <v>4763</v>
      </c>
      <c r="F1745" s="1" t="s">
        <v>4764</v>
      </c>
      <c r="G1745" s="1" t="s">
        <v>4523</v>
      </c>
      <c r="H1745" s="1" t="s">
        <v>4765</v>
      </c>
      <c r="J1745" s="1" t="s">
        <v>4766</v>
      </c>
      <c r="K1745" s="1" t="n">
        <f aca="false">IF(Search!$D$5="",0,IF(AND(OR(Search!$N$5="",ISNUMBER(SEARCH(Search!$N$5,J1745))),OR(Search!$N$6="",ISNUMBER(SEARCH(Search!$N$6,J1745))),OR(Search!$N$7="",ISNUMBER(SEARCH(Search!$N$7,J1745))),OR(Search!$N$8="",ISNUMBER(SEARCH(Search!$N$8,J1745)))),1,0))</f>
        <v>0</v>
      </c>
      <c r="L1745" s="1" t="n">
        <f aca="false">L1744+K1745</f>
        <v>0</v>
      </c>
    </row>
    <row r="1746" customFormat="false" ht="15" hidden="false" customHeight="true" outlineLevel="0" collapsed="false">
      <c r="A1746" s="1" t="s">
        <v>34</v>
      </c>
      <c r="B1746" s="1" t="s">
        <v>229</v>
      </c>
      <c r="C1746" s="1" t="n">
        <v>21</v>
      </c>
      <c r="E1746" s="1" t="s">
        <v>4767</v>
      </c>
      <c r="F1746" s="1" t="s">
        <v>4768</v>
      </c>
      <c r="G1746" s="1" t="s">
        <v>4523</v>
      </c>
      <c r="H1746" s="1" t="s">
        <v>4765</v>
      </c>
      <c r="J1746" s="1" t="s">
        <v>4769</v>
      </c>
      <c r="K1746" s="1" t="n">
        <f aca="false">IF(Search!$D$5="",0,IF(AND(OR(Search!$N$5="",ISNUMBER(SEARCH(Search!$N$5,J1746))),OR(Search!$N$6="",ISNUMBER(SEARCH(Search!$N$6,J1746))),OR(Search!$N$7="",ISNUMBER(SEARCH(Search!$N$7,J1746))),OR(Search!$N$8="",ISNUMBER(SEARCH(Search!$N$8,J1746)))),1,0))</f>
        <v>0</v>
      </c>
      <c r="L1746" s="1" t="n">
        <f aca="false">L1745+K1746</f>
        <v>0</v>
      </c>
    </row>
    <row r="1747" customFormat="false" ht="15" hidden="false" customHeight="true" outlineLevel="0" collapsed="false">
      <c r="A1747" s="1" t="s">
        <v>34</v>
      </c>
      <c r="B1747" s="1" t="s">
        <v>229</v>
      </c>
      <c r="C1747" s="1" t="n">
        <v>22</v>
      </c>
      <c r="E1747" s="1" t="s">
        <v>4770</v>
      </c>
      <c r="F1747" s="1" t="s">
        <v>4771</v>
      </c>
      <c r="G1747" s="1" t="s">
        <v>537</v>
      </c>
      <c r="H1747" s="1" t="s">
        <v>4772</v>
      </c>
      <c r="J1747" s="1" t="s">
        <v>4773</v>
      </c>
      <c r="K1747" s="1" t="n">
        <f aca="false">IF(Search!$D$5="",0,IF(AND(OR(Search!$N$5="",ISNUMBER(SEARCH(Search!$N$5,J1747))),OR(Search!$N$6="",ISNUMBER(SEARCH(Search!$N$6,J1747))),OR(Search!$N$7="",ISNUMBER(SEARCH(Search!$N$7,J1747))),OR(Search!$N$8="",ISNUMBER(SEARCH(Search!$N$8,J1747)))),1,0))</f>
        <v>0</v>
      </c>
      <c r="L1747" s="1" t="n">
        <f aca="false">L1746+K1747</f>
        <v>0</v>
      </c>
    </row>
    <row r="1748" customFormat="false" ht="15" hidden="false" customHeight="true" outlineLevel="0" collapsed="false">
      <c r="A1748" s="1" t="s">
        <v>34</v>
      </c>
      <c r="B1748" s="1" t="s">
        <v>229</v>
      </c>
      <c r="C1748" s="1" t="n">
        <v>23</v>
      </c>
      <c r="E1748" s="1" t="s">
        <v>4774</v>
      </c>
      <c r="F1748" s="1" t="s">
        <v>4775</v>
      </c>
      <c r="G1748" s="1" t="s">
        <v>537</v>
      </c>
      <c r="H1748" s="1" t="s">
        <v>4776</v>
      </c>
      <c r="J1748" s="1" t="s">
        <v>4777</v>
      </c>
      <c r="K1748" s="1" t="n">
        <f aca="false">IF(Search!$D$5="",0,IF(AND(OR(Search!$N$5="",ISNUMBER(SEARCH(Search!$N$5,J1748))),OR(Search!$N$6="",ISNUMBER(SEARCH(Search!$N$6,J1748))),OR(Search!$N$7="",ISNUMBER(SEARCH(Search!$N$7,J1748))),OR(Search!$N$8="",ISNUMBER(SEARCH(Search!$N$8,J1748)))),1,0))</f>
        <v>0</v>
      </c>
      <c r="L1748" s="1" t="n">
        <f aca="false">L1747+K1748</f>
        <v>0</v>
      </c>
    </row>
    <row r="1749" customFormat="false" ht="15" hidden="false" customHeight="true" outlineLevel="0" collapsed="false">
      <c r="A1749" s="1" t="s">
        <v>34</v>
      </c>
      <c r="B1749" s="1" t="s">
        <v>229</v>
      </c>
      <c r="C1749" s="1" t="n">
        <v>24</v>
      </c>
      <c r="E1749" s="1" t="s">
        <v>4778</v>
      </c>
      <c r="F1749" s="1" t="s">
        <v>4779</v>
      </c>
      <c r="G1749" s="1" t="s">
        <v>537</v>
      </c>
      <c r="H1749" s="1" t="s">
        <v>4780</v>
      </c>
      <c r="J1749" s="1" t="s">
        <v>4781</v>
      </c>
      <c r="K1749" s="1" t="n">
        <f aca="false">IF(Search!$D$5="",0,IF(AND(OR(Search!$N$5="",ISNUMBER(SEARCH(Search!$N$5,J1749))),OR(Search!$N$6="",ISNUMBER(SEARCH(Search!$N$6,J1749))),OR(Search!$N$7="",ISNUMBER(SEARCH(Search!$N$7,J1749))),OR(Search!$N$8="",ISNUMBER(SEARCH(Search!$N$8,J1749)))),1,0))</f>
        <v>0</v>
      </c>
      <c r="L1749" s="1" t="n">
        <f aca="false">L1748+K1749</f>
        <v>0</v>
      </c>
    </row>
    <row r="1750" customFormat="false" ht="15" hidden="false" customHeight="true" outlineLevel="0" collapsed="false">
      <c r="A1750" s="1" t="s">
        <v>34</v>
      </c>
      <c r="B1750" s="1" t="s">
        <v>229</v>
      </c>
      <c r="C1750" s="1" t="n">
        <v>25</v>
      </c>
      <c r="E1750" s="1" t="s">
        <v>4782</v>
      </c>
      <c r="F1750" s="1" t="s">
        <v>4783</v>
      </c>
      <c r="G1750" s="1" t="s">
        <v>537</v>
      </c>
      <c r="H1750" s="1" t="s">
        <v>4784</v>
      </c>
      <c r="J1750" s="1" t="s">
        <v>4785</v>
      </c>
      <c r="K1750" s="1" t="n">
        <f aca="false">IF(Search!$D$5="",0,IF(AND(OR(Search!$N$5="",ISNUMBER(SEARCH(Search!$N$5,J1750))),OR(Search!$N$6="",ISNUMBER(SEARCH(Search!$N$6,J1750))),OR(Search!$N$7="",ISNUMBER(SEARCH(Search!$N$7,J1750))),OR(Search!$N$8="",ISNUMBER(SEARCH(Search!$N$8,J1750)))),1,0))</f>
        <v>0</v>
      </c>
      <c r="L1750" s="1" t="n">
        <f aca="false">L1749+K1750</f>
        <v>0</v>
      </c>
    </row>
    <row r="1751" customFormat="false" ht="15" hidden="false" customHeight="true" outlineLevel="0" collapsed="false">
      <c r="A1751" s="1" t="s">
        <v>34</v>
      </c>
      <c r="B1751" s="1" t="s">
        <v>229</v>
      </c>
      <c r="C1751" s="1" t="n">
        <v>26</v>
      </c>
      <c r="E1751" s="1" t="s">
        <v>4786</v>
      </c>
      <c r="F1751" s="1" t="s">
        <v>4787</v>
      </c>
      <c r="G1751" s="1" t="s">
        <v>4788</v>
      </c>
      <c r="H1751" s="1" t="s">
        <v>4789</v>
      </c>
      <c r="J1751" s="1" t="s">
        <v>4790</v>
      </c>
      <c r="K1751" s="1" t="n">
        <f aca="false">IF(Search!$D$5="",0,IF(AND(OR(Search!$N$5="",ISNUMBER(SEARCH(Search!$N$5,J1751))),OR(Search!$N$6="",ISNUMBER(SEARCH(Search!$N$6,J1751))),OR(Search!$N$7="",ISNUMBER(SEARCH(Search!$N$7,J1751))),OR(Search!$N$8="",ISNUMBER(SEARCH(Search!$N$8,J1751)))),1,0))</f>
        <v>0</v>
      </c>
      <c r="L1751" s="1" t="n">
        <f aca="false">L1750+K1751</f>
        <v>0</v>
      </c>
    </row>
    <row r="1752" customFormat="false" ht="15" hidden="false" customHeight="true" outlineLevel="0" collapsed="false">
      <c r="A1752" s="1" t="s">
        <v>34</v>
      </c>
      <c r="B1752" s="1" t="s">
        <v>229</v>
      </c>
      <c r="C1752" s="1" t="n">
        <v>27</v>
      </c>
      <c r="E1752" s="1" t="s">
        <v>4791</v>
      </c>
      <c r="F1752" s="1" t="s">
        <v>4792</v>
      </c>
      <c r="G1752" s="1" t="s">
        <v>4788</v>
      </c>
      <c r="H1752" s="1" t="s">
        <v>4793</v>
      </c>
      <c r="J1752" s="1" t="s">
        <v>4794</v>
      </c>
      <c r="K1752" s="1" t="n">
        <f aca="false">IF(Search!$D$5="",0,IF(AND(OR(Search!$N$5="",ISNUMBER(SEARCH(Search!$N$5,J1752))),OR(Search!$N$6="",ISNUMBER(SEARCH(Search!$N$6,J1752))),OR(Search!$N$7="",ISNUMBER(SEARCH(Search!$N$7,J1752))),OR(Search!$N$8="",ISNUMBER(SEARCH(Search!$N$8,J1752)))),1,0))</f>
        <v>0</v>
      </c>
      <c r="L1752" s="1" t="n">
        <f aca="false">L1751+K1752</f>
        <v>0</v>
      </c>
    </row>
    <row r="1753" customFormat="false" ht="15" hidden="false" customHeight="true" outlineLevel="0" collapsed="false">
      <c r="A1753" s="1" t="s">
        <v>34</v>
      </c>
      <c r="B1753" s="1" t="s">
        <v>229</v>
      </c>
      <c r="C1753" s="1" t="n">
        <v>28</v>
      </c>
      <c r="E1753" s="1" t="s">
        <v>4795</v>
      </c>
      <c r="F1753" s="1" t="s">
        <v>4796</v>
      </c>
      <c r="G1753" s="1" t="s">
        <v>4797</v>
      </c>
      <c r="H1753" s="1" t="s">
        <v>4798</v>
      </c>
      <c r="J1753" s="1" t="s">
        <v>4799</v>
      </c>
      <c r="K1753" s="1" t="n">
        <f aca="false">IF(Search!$D$5="",0,IF(AND(OR(Search!$N$5="",ISNUMBER(SEARCH(Search!$N$5,J1753))),OR(Search!$N$6="",ISNUMBER(SEARCH(Search!$N$6,J1753))),OR(Search!$N$7="",ISNUMBER(SEARCH(Search!$N$7,J1753))),OR(Search!$N$8="",ISNUMBER(SEARCH(Search!$N$8,J1753)))),1,0))</f>
        <v>0</v>
      </c>
      <c r="L1753" s="1" t="n">
        <f aca="false">L1752+K1753</f>
        <v>0</v>
      </c>
    </row>
    <row r="1754" customFormat="false" ht="15" hidden="false" customHeight="true" outlineLevel="0" collapsed="false">
      <c r="A1754" s="1" t="s">
        <v>34</v>
      </c>
      <c r="B1754" s="1" t="s">
        <v>229</v>
      </c>
      <c r="C1754" s="1" t="n">
        <v>29</v>
      </c>
      <c r="E1754" s="1" t="s">
        <v>4800</v>
      </c>
      <c r="F1754" s="1" t="s">
        <v>4801</v>
      </c>
      <c r="G1754" s="1" t="s">
        <v>4802</v>
      </c>
      <c r="H1754" s="1" t="s">
        <v>4803</v>
      </c>
      <c r="J1754" s="1" t="s">
        <v>4804</v>
      </c>
      <c r="K1754" s="1" t="n">
        <f aca="false">IF(Search!$D$5="",0,IF(AND(OR(Search!$N$5="",ISNUMBER(SEARCH(Search!$N$5,J1754))),OR(Search!$N$6="",ISNUMBER(SEARCH(Search!$N$6,J1754))),OR(Search!$N$7="",ISNUMBER(SEARCH(Search!$N$7,J1754))),OR(Search!$N$8="",ISNUMBER(SEARCH(Search!$N$8,J1754)))),1,0))</f>
        <v>0</v>
      </c>
      <c r="L1754" s="1" t="n">
        <f aca="false">L1753+K1754</f>
        <v>0</v>
      </c>
    </row>
    <row r="1755" customFormat="false" ht="15" hidden="false" customHeight="true" outlineLevel="0" collapsed="false">
      <c r="A1755" s="1" t="s">
        <v>34</v>
      </c>
      <c r="B1755" s="1" t="s">
        <v>229</v>
      </c>
      <c r="C1755" s="1" t="n">
        <v>30</v>
      </c>
      <c r="E1755" s="1" t="s">
        <v>4805</v>
      </c>
      <c r="F1755" s="1" t="s">
        <v>4806</v>
      </c>
      <c r="G1755" s="1" t="s">
        <v>4807</v>
      </c>
      <c r="H1755" s="1" t="s">
        <v>4808</v>
      </c>
      <c r="J1755" s="1" t="s">
        <v>4809</v>
      </c>
      <c r="K1755" s="1" t="n">
        <f aca="false">IF(Search!$D$5="",0,IF(AND(OR(Search!$N$5="",ISNUMBER(SEARCH(Search!$N$5,J1755))),OR(Search!$N$6="",ISNUMBER(SEARCH(Search!$N$6,J1755))),OR(Search!$N$7="",ISNUMBER(SEARCH(Search!$N$7,J1755))),OR(Search!$N$8="",ISNUMBER(SEARCH(Search!$N$8,J1755)))),1,0))</f>
        <v>0</v>
      </c>
      <c r="L1755" s="1" t="n">
        <f aca="false">L1754+K1755</f>
        <v>0</v>
      </c>
    </row>
    <row r="1756" customFormat="false" ht="15" hidden="false" customHeight="true" outlineLevel="0" collapsed="false">
      <c r="A1756" s="1" t="s">
        <v>34</v>
      </c>
      <c r="B1756" s="1" t="s">
        <v>229</v>
      </c>
      <c r="C1756" s="1" t="n">
        <v>31</v>
      </c>
      <c r="E1756" s="1" t="s">
        <v>4810</v>
      </c>
      <c r="F1756" s="1" t="s">
        <v>4811</v>
      </c>
      <c r="G1756" s="1" t="s">
        <v>4807</v>
      </c>
      <c r="H1756" s="1" t="s">
        <v>4812</v>
      </c>
      <c r="J1756" s="1" t="s">
        <v>4813</v>
      </c>
      <c r="K1756" s="1" t="n">
        <f aca="false">IF(Search!$D$5="",0,IF(AND(OR(Search!$N$5="",ISNUMBER(SEARCH(Search!$N$5,J1756))),OR(Search!$N$6="",ISNUMBER(SEARCH(Search!$N$6,J1756))),OR(Search!$N$7="",ISNUMBER(SEARCH(Search!$N$7,J1756))),OR(Search!$N$8="",ISNUMBER(SEARCH(Search!$N$8,J1756)))),1,0))</f>
        <v>0</v>
      </c>
      <c r="L1756" s="1" t="n">
        <f aca="false">L1755+K1756</f>
        <v>0</v>
      </c>
    </row>
    <row r="1757" customFormat="false" ht="15" hidden="false" customHeight="true" outlineLevel="0" collapsed="false">
      <c r="A1757" s="1" t="s">
        <v>34</v>
      </c>
      <c r="B1757" s="1" t="s">
        <v>229</v>
      </c>
      <c r="C1757" s="1" t="n">
        <v>32</v>
      </c>
      <c r="E1757" s="1" t="s">
        <v>4814</v>
      </c>
      <c r="F1757" s="1" t="s">
        <v>4815</v>
      </c>
      <c r="G1757" s="1" t="s">
        <v>4807</v>
      </c>
      <c r="H1757" s="1" t="s">
        <v>4816</v>
      </c>
      <c r="J1757" s="1" t="s">
        <v>4817</v>
      </c>
      <c r="K1757" s="1" t="n">
        <f aca="false">IF(Search!$D$5="",0,IF(AND(OR(Search!$N$5="",ISNUMBER(SEARCH(Search!$N$5,J1757))),OR(Search!$N$6="",ISNUMBER(SEARCH(Search!$N$6,J1757))),OR(Search!$N$7="",ISNUMBER(SEARCH(Search!$N$7,J1757))),OR(Search!$N$8="",ISNUMBER(SEARCH(Search!$N$8,J1757)))),1,0))</f>
        <v>0</v>
      </c>
      <c r="L1757" s="1" t="n">
        <f aca="false">L1756+K1757</f>
        <v>0</v>
      </c>
    </row>
    <row r="1758" customFormat="false" ht="15" hidden="false" customHeight="true" outlineLevel="0" collapsed="false">
      <c r="A1758" s="1" t="s">
        <v>34</v>
      </c>
      <c r="B1758" s="1" t="s">
        <v>229</v>
      </c>
      <c r="C1758" s="1" t="n">
        <v>33</v>
      </c>
      <c r="E1758" s="1" t="s">
        <v>4818</v>
      </c>
      <c r="F1758" s="1" t="s">
        <v>4819</v>
      </c>
      <c r="G1758" s="1" t="s">
        <v>4820</v>
      </c>
      <c r="H1758" s="1" t="s">
        <v>4821</v>
      </c>
      <c r="J1758" s="1" t="s">
        <v>4822</v>
      </c>
      <c r="K1758" s="1" t="n">
        <f aca="false">IF(Search!$D$5="",0,IF(AND(OR(Search!$N$5="",ISNUMBER(SEARCH(Search!$N$5,J1758))),OR(Search!$N$6="",ISNUMBER(SEARCH(Search!$N$6,J1758))),OR(Search!$N$7="",ISNUMBER(SEARCH(Search!$N$7,J1758))),OR(Search!$N$8="",ISNUMBER(SEARCH(Search!$N$8,J1758)))),1,0))</f>
        <v>0</v>
      </c>
      <c r="L1758" s="1" t="n">
        <f aca="false">L1757+K1758</f>
        <v>0</v>
      </c>
    </row>
    <row r="1759" customFormat="false" ht="15" hidden="false" customHeight="true" outlineLevel="0" collapsed="false">
      <c r="A1759" s="1" t="s">
        <v>34</v>
      </c>
      <c r="B1759" s="1" t="s">
        <v>229</v>
      </c>
      <c r="C1759" s="1" t="n">
        <v>34</v>
      </c>
      <c r="E1759" s="1" t="s">
        <v>4823</v>
      </c>
      <c r="F1759" s="1" t="s">
        <v>4824</v>
      </c>
      <c r="G1759" s="1" t="s">
        <v>4820</v>
      </c>
      <c r="H1759" s="1" t="s">
        <v>4825</v>
      </c>
      <c r="J1759" s="1" t="s">
        <v>4826</v>
      </c>
      <c r="K1759" s="1" t="n">
        <f aca="false">IF(Search!$D$5="",0,IF(AND(OR(Search!$N$5="",ISNUMBER(SEARCH(Search!$N$5,J1759))),OR(Search!$N$6="",ISNUMBER(SEARCH(Search!$N$6,J1759))),OR(Search!$N$7="",ISNUMBER(SEARCH(Search!$N$7,J1759))),OR(Search!$N$8="",ISNUMBER(SEARCH(Search!$N$8,J1759)))),1,0))</f>
        <v>0</v>
      </c>
      <c r="L1759" s="1" t="n">
        <f aca="false">L1758+K1759</f>
        <v>0</v>
      </c>
    </row>
    <row r="1760" customFormat="false" ht="15" hidden="false" customHeight="true" outlineLevel="0" collapsed="false">
      <c r="A1760" s="1" t="s">
        <v>34</v>
      </c>
      <c r="B1760" s="1" t="s">
        <v>229</v>
      </c>
      <c r="C1760" s="1" t="n">
        <v>35</v>
      </c>
      <c r="E1760" s="1" t="s">
        <v>4827</v>
      </c>
      <c r="F1760" s="1" t="s">
        <v>4828</v>
      </c>
      <c r="G1760" s="1" t="s">
        <v>4820</v>
      </c>
      <c r="H1760" s="1" t="s">
        <v>4829</v>
      </c>
      <c r="J1760" s="1" t="s">
        <v>4830</v>
      </c>
      <c r="K1760" s="1" t="n">
        <f aca="false">IF(Search!$D$5="",0,IF(AND(OR(Search!$N$5="",ISNUMBER(SEARCH(Search!$N$5,J1760))),OR(Search!$N$6="",ISNUMBER(SEARCH(Search!$N$6,J1760))),OR(Search!$N$7="",ISNUMBER(SEARCH(Search!$N$7,J1760))),OR(Search!$N$8="",ISNUMBER(SEARCH(Search!$N$8,J1760)))),1,0))</f>
        <v>0</v>
      </c>
      <c r="L1760" s="1" t="n">
        <f aca="false">L1759+K1760</f>
        <v>0</v>
      </c>
    </row>
    <row r="1761" customFormat="false" ht="15" hidden="false" customHeight="true" outlineLevel="0" collapsed="false">
      <c r="A1761" s="1" t="s">
        <v>34</v>
      </c>
      <c r="B1761" s="1" t="s">
        <v>229</v>
      </c>
      <c r="C1761" s="1" t="n">
        <v>36</v>
      </c>
      <c r="E1761" s="1" t="s">
        <v>4831</v>
      </c>
      <c r="F1761" s="1" t="s">
        <v>4832</v>
      </c>
      <c r="G1761" s="1" t="s">
        <v>4833</v>
      </c>
      <c r="H1761" s="1" t="s">
        <v>4834</v>
      </c>
      <c r="J1761" s="1" t="s">
        <v>4835</v>
      </c>
      <c r="K1761" s="1" t="n">
        <f aca="false">IF(Search!$D$5="",0,IF(AND(OR(Search!$N$5="",ISNUMBER(SEARCH(Search!$N$5,J1761))),OR(Search!$N$6="",ISNUMBER(SEARCH(Search!$N$6,J1761))),OR(Search!$N$7="",ISNUMBER(SEARCH(Search!$N$7,J1761))),OR(Search!$N$8="",ISNUMBER(SEARCH(Search!$N$8,J1761)))),1,0))</f>
        <v>0</v>
      </c>
      <c r="L1761" s="1" t="n">
        <f aca="false">L1760+K1761</f>
        <v>0</v>
      </c>
    </row>
    <row r="1762" customFormat="false" ht="15" hidden="false" customHeight="true" outlineLevel="0" collapsed="false">
      <c r="A1762" s="1" t="s">
        <v>34</v>
      </c>
      <c r="B1762" s="1" t="s">
        <v>229</v>
      </c>
      <c r="C1762" s="1" t="n">
        <v>37</v>
      </c>
      <c r="E1762" s="1" t="s">
        <v>4836</v>
      </c>
      <c r="F1762" s="1" t="s">
        <v>4837</v>
      </c>
      <c r="G1762" s="1" t="s">
        <v>4833</v>
      </c>
      <c r="H1762" s="1" t="s">
        <v>4838</v>
      </c>
      <c r="J1762" s="1" t="s">
        <v>4839</v>
      </c>
      <c r="K1762" s="1" t="n">
        <f aca="false">IF(Search!$D$5="",0,IF(AND(OR(Search!$N$5="",ISNUMBER(SEARCH(Search!$N$5,J1762))),OR(Search!$N$6="",ISNUMBER(SEARCH(Search!$N$6,J1762))),OR(Search!$N$7="",ISNUMBER(SEARCH(Search!$N$7,J1762))),OR(Search!$N$8="",ISNUMBER(SEARCH(Search!$N$8,J1762)))),1,0))</f>
        <v>0</v>
      </c>
      <c r="L1762" s="1" t="n">
        <f aca="false">L1761+K1762</f>
        <v>0</v>
      </c>
    </row>
    <row r="1763" customFormat="false" ht="15" hidden="false" customHeight="true" outlineLevel="0" collapsed="false">
      <c r="A1763" s="1" t="s">
        <v>34</v>
      </c>
      <c r="B1763" s="1" t="s">
        <v>229</v>
      </c>
      <c r="C1763" s="1" t="n">
        <v>38</v>
      </c>
      <c r="E1763" s="1" t="s">
        <v>4840</v>
      </c>
      <c r="F1763" s="1" t="s">
        <v>4841</v>
      </c>
      <c r="G1763" s="1" t="s">
        <v>4833</v>
      </c>
      <c r="H1763" s="1" t="s">
        <v>4842</v>
      </c>
      <c r="J1763" s="1" t="s">
        <v>4843</v>
      </c>
      <c r="K1763" s="1" t="n">
        <f aca="false">IF(Search!$D$5="",0,IF(AND(OR(Search!$N$5="",ISNUMBER(SEARCH(Search!$N$5,J1763))),OR(Search!$N$6="",ISNUMBER(SEARCH(Search!$N$6,J1763))),OR(Search!$N$7="",ISNUMBER(SEARCH(Search!$N$7,J1763))),OR(Search!$N$8="",ISNUMBER(SEARCH(Search!$N$8,J1763)))),1,0))</f>
        <v>0</v>
      </c>
      <c r="L1763" s="1" t="n">
        <f aca="false">L1762+K1763</f>
        <v>0</v>
      </c>
    </row>
    <row r="1764" customFormat="false" ht="15" hidden="false" customHeight="true" outlineLevel="0" collapsed="false">
      <c r="A1764" s="1" t="s">
        <v>34</v>
      </c>
      <c r="B1764" s="1" t="s">
        <v>229</v>
      </c>
      <c r="C1764" s="1" t="n">
        <v>39</v>
      </c>
      <c r="E1764" s="1" t="s">
        <v>4844</v>
      </c>
      <c r="F1764" s="1" t="s">
        <v>4845</v>
      </c>
      <c r="G1764" s="1" t="s">
        <v>4802</v>
      </c>
      <c r="H1764" s="1" t="s">
        <v>4846</v>
      </c>
      <c r="J1764" s="1" t="s">
        <v>4847</v>
      </c>
      <c r="K1764" s="1" t="n">
        <f aca="false">IF(Search!$D$5="",0,IF(AND(OR(Search!$N$5="",ISNUMBER(SEARCH(Search!$N$5,J1764))),OR(Search!$N$6="",ISNUMBER(SEARCH(Search!$N$6,J1764))),OR(Search!$N$7="",ISNUMBER(SEARCH(Search!$N$7,J1764))),OR(Search!$N$8="",ISNUMBER(SEARCH(Search!$N$8,J1764)))),1,0))</f>
        <v>0</v>
      </c>
      <c r="L1764" s="1" t="n">
        <f aca="false">L1763+K1764</f>
        <v>0</v>
      </c>
    </row>
    <row r="1765" customFormat="false" ht="15" hidden="false" customHeight="true" outlineLevel="0" collapsed="false">
      <c r="A1765" s="1" t="s">
        <v>34</v>
      </c>
      <c r="B1765" s="1" t="s">
        <v>229</v>
      </c>
      <c r="C1765" s="1" t="n">
        <v>40</v>
      </c>
      <c r="E1765" s="1" t="s">
        <v>4848</v>
      </c>
      <c r="F1765" s="1" t="s">
        <v>4849</v>
      </c>
      <c r="G1765" s="1" t="s">
        <v>4802</v>
      </c>
      <c r="H1765" s="1" t="s">
        <v>4850</v>
      </c>
      <c r="J1765" s="1" t="s">
        <v>4851</v>
      </c>
      <c r="K1765" s="1" t="n">
        <f aca="false">IF(Search!$D$5="",0,IF(AND(OR(Search!$N$5="",ISNUMBER(SEARCH(Search!$N$5,J1765))),OR(Search!$N$6="",ISNUMBER(SEARCH(Search!$N$6,J1765))),OR(Search!$N$7="",ISNUMBER(SEARCH(Search!$N$7,J1765))),OR(Search!$N$8="",ISNUMBER(SEARCH(Search!$N$8,J1765)))),1,0))</f>
        <v>0</v>
      </c>
      <c r="L1765" s="1" t="n">
        <f aca="false">L1764+K1765</f>
        <v>0</v>
      </c>
    </row>
    <row r="1766" customFormat="false" ht="15" hidden="false" customHeight="true" outlineLevel="0" collapsed="false">
      <c r="A1766" s="1" t="s">
        <v>346</v>
      </c>
      <c r="B1766" s="1" t="s">
        <v>4474</v>
      </c>
      <c r="C1766" s="1" t="n">
        <v>2</v>
      </c>
      <c r="E1766" s="1" t="s">
        <v>4852</v>
      </c>
      <c r="J1766" s="1" t="s">
        <v>4852</v>
      </c>
      <c r="K1766" s="1" t="n">
        <f aca="false">IF(Search!$D$5="",0,IF(AND(OR(Search!$N$5="",ISNUMBER(SEARCH(Search!$N$5,J1766))),OR(Search!$N$6="",ISNUMBER(SEARCH(Search!$N$6,J1766))),OR(Search!$N$7="",ISNUMBER(SEARCH(Search!$N$7,J1766))),OR(Search!$N$8="",ISNUMBER(SEARCH(Search!$N$8,J1766)))),1,0))</f>
        <v>0</v>
      </c>
      <c r="L1766" s="1" t="n">
        <f aca="false">L1765+K1766</f>
        <v>0</v>
      </c>
    </row>
    <row r="1767" customFormat="false" ht="15" hidden="false" customHeight="true" outlineLevel="0" collapsed="false">
      <c r="A1767" s="1" t="s">
        <v>346</v>
      </c>
      <c r="B1767" s="1" t="s">
        <v>4474</v>
      </c>
      <c r="C1767" s="1" t="n">
        <v>3</v>
      </c>
      <c r="E1767" s="1" t="s">
        <v>4853</v>
      </c>
      <c r="J1767" s="1" t="s">
        <v>4853</v>
      </c>
      <c r="K1767" s="1" t="n">
        <f aca="false">IF(Search!$D$5="",0,IF(AND(OR(Search!$N$5="",ISNUMBER(SEARCH(Search!$N$5,J1767))),OR(Search!$N$6="",ISNUMBER(SEARCH(Search!$N$6,J1767))),OR(Search!$N$7="",ISNUMBER(SEARCH(Search!$N$7,J1767))),OR(Search!$N$8="",ISNUMBER(SEARCH(Search!$N$8,J1767)))),1,0))</f>
        <v>0</v>
      </c>
      <c r="L1767" s="1" t="n">
        <f aca="false">L1766+K1767</f>
        <v>0</v>
      </c>
    </row>
    <row r="1768" customFormat="false" ht="15" hidden="false" customHeight="true" outlineLevel="0" collapsed="false">
      <c r="A1768" s="1" t="s">
        <v>346</v>
      </c>
      <c r="B1768" s="1" t="s">
        <v>4474</v>
      </c>
      <c r="C1768" s="1" t="n">
        <v>5</v>
      </c>
      <c r="E1768" s="1" t="s">
        <v>4854</v>
      </c>
      <c r="J1768" s="1" t="s">
        <v>4854</v>
      </c>
      <c r="K1768" s="1" t="n">
        <f aca="false">IF(Search!$D$5="",0,IF(AND(OR(Search!$N$5="",ISNUMBER(SEARCH(Search!$N$5,J1768))),OR(Search!$N$6="",ISNUMBER(SEARCH(Search!$N$6,J1768))),OR(Search!$N$7="",ISNUMBER(SEARCH(Search!$N$7,J1768))),OR(Search!$N$8="",ISNUMBER(SEARCH(Search!$N$8,J1768)))),1,0))</f>
        <v>0</v>
      </c>
      <c r="L1768" s="1" t="n">
        <f aca="false">L1767+K1768</f>
        <v>0</v>
      </c>
    </row>
    <row r="1769" customFormat="false" ht="15" hidden="false" customHeight="true" outlineLevel="0" collapsed="false">
      <c r="A1769" s="1" t="s">
        <v>346</v>
      </c>
      <c r="B1769" s="1" t="s">
        <v>4474</v>
      </c>
      <c r="C1769" s="1" t="n">
        <v>6</v>
      </c>
      <c r="E1769" s="1" t="s">
        <v>4855</v>
      </c>
      <c r="F1769" s="1" t="s">
        <v>4856</v>
      </c>
      <c r="G1769" s="1" t="s">
        <v>4857</v>
      </c>
      <c r="H1769" s="1" t="s">
        <v>4753</v>
      </c>
      <c r="J1769" s="1" t="s">
        <v>4858</v>
      </c>
      <c r="K1769" s="1" t="n">
        <f aca="false">IF(Search!$D$5="",0,IF(AND(OR(Search!$N$5="",ISNUMBER(SEARCH(Search!$N$5,J1769))),OR(Search!$N$6="",ISNUMBER(SEARCH(Search!$N$6,J1769))),OR(Search!$N$7="",ISNUMBER(SEARCH(Search!$N$7,J1769))),OR(Search!$N$8="",ISNUMBER(SEARCH(Search!$N$8,J1769)))),1,0))</f>
        <v>0</v>
      </c>
      <c r="L1769" s="1" t="n">
        <f aca="false">L1768+K1769</f>
        <v>0</v>
      </c>
    </row>
    <row r="1770" customFormat="false" ht="15" hidden="false" customHeight="true" outlineLevel="0" collapsed="false">
      <c r="A1770" s="1" t="s">
        <v>346</v>
      </c>
      <c r="B1770" s="1" t="s">
        <v>4474</v>
      </c>
      <c r="C1770" s="1" t="n">
        <v>7</v>
      </c>
      <c r="E1770" s="1" t="s">
        <v>4859</v>
      </c>
      <c r="F1770" s="1" t="s">
        <v>4860</v>
      </c>
      <c r="G1770" s="1" t="s">
        <v>1838</v>
      </c>
      <c r="H1770" s="1" t="s">
        <v>4654</v>
      </c>
      <c r="J1770" s="1" t="s">
        <v>4861</v>
      </c>
      <c r="K1770" s="1" t="n">
        <f aca="false">IF(Search!$D$5="",0,IF(AND(OR(Search!$N$5="",ISNUMBER(SEARCH(Search!$N$5,J1770))),OR(Search!$N$6="",ISNUMBER(SEARCH(Search!$N$6,J1770))),OR(Search!$N$7="",ISNUMBER(SEARCH(Search!$N$7,J1770))),OR(Search!$N$8="",ISNUMBER(SEARCH(Search!$N$8,J1770)))),1,0))</f>
        <v>0</v>
      </c>
      <c r="L1770" s="1" t="n">
        <f aca="false">L1769+K1770</f>
        <v>0</v>
      </c>
    </row>
    <row r="1771" customFormat="false" ht="15" hidden="false" customHeight="true" outlineLevel="0" collapsed="false">
      <c r="A1771" s="1" t="s">
        <v>346</v>
      </c>
      <c r="B1771" s="1" t="s">
        <v>4474</v>
      </c>
      <c r="C1771" s="1" t="n">
        <v>8</v>
      </c>
      <c r="E1771" s="1" t="s">
        <v>4862</v>
      </c>
      <c r="F1771" s="1" t="s">
        <v>4863</v>
      </c>
      <c r="G1771" s="1" t="s">
        <v>987</v>
      </c>
      <c r="H1771" s="1" t="s">
        <v>4654</v>
      </c>
      <c r="J1771" s="1" t="s">
        <v>4864</v>
      </c>
      <c r="K1771" s="1" t="n">
        <f aca="false">IF(Search!$D$5="",0,IF(AND(OR(Search!$N$5="",ISNUMBER(SEARCH(Search!$N$5,J1771))),OR(Search!$N$6="",ISNUMBER(SEARCH(Search!$N$6,J1771))),OR(Search!$N$7="",ISNUMBER(SEARCH(Search!$N$7,J1771))),OR(Search!$N$8="",ISNUMBER(SEARCH(Search!$N$8,J1771)))),1,0))</f>
        <v>0</v>
      </c>
      <c r="L1771" s="1" t="n">
        <f aca="false">L1770+K1771</f>
        <v>0</v>
      </c>
    </row>
    <row r="1772" customFormat="false" ht="15" hidden="false" customHeight="true" outlineLevel="0" collapsed="false">
      <c r="A1772" s="1" t="s">
        <v>346</v>
      </c>
      <c r="B1772" s="1" t="s">
        <v>4474</v>
      </c>
      <c r="C1772" s="1" t="n">
        <v>9</v>
      </c>
      <c r="E1772" s="1" t="s">
        <v>4865</v>
      </c>
      <c r="F1772" s="1" t="s">
        <v>4866</v>
      </c>
      <c r="G1772" s="1" t="s">
        <v>4650</v>
      </c>
      <c r="H1772" s="1" t="s">
        <v>4867</v>
      </c>
      <c r="J1772" s="1" t="s">
        <v>4868</v>
      </c>
      <c r="K1772" s="1" t="n">
        <f aca="false">IF(Search!$D$5="",0,IF(AND(OR(Search!$N$5="",ISNUMBER(SEARCH(Search!$N$5,J1772))),OR(Search!$N$6="",ISNUMBER(SEARCH(Search!$N$6,J1772))),OR(Search!$N$7="",ISNUMBER(SEARCH(Search!$N$7,J1772))),OR(Search!$N$8="",ISNUMBER(SEARCH(Search!$N$8,J1772)))),1,0))</f>
        <v>0</v>
      </c>
      <c r="L1772" s="1" t="n">
        <f aca="false">L1771+K1772</f>
        <v>0</v>
      </c>
    </row>
    <row r="1773" customFormat="false" ht="15" hidden="false" customHeight="true" outlineLevel="0" collapsed="false">
      <c r="A1773" s="1" t="s">
        <v>346</v>
      </c>
      <c r="B1773" s="1" t="s">
        <v>4474</v>
      </c>
      <c r="C1773" s="1" t="n">
        <v>10</v>
      </c>
      <c r="E1773" s="1" t="s">
        <v>4869</v>
      </c>
      <c r="F1773" s="1" t="s">
        <v>4870</v>
      </c>
      <c r="G1773" s="1" t="s">
        <v>1830</v>
      </c>
      <c r="H1773" s="1" t="s">
        <v>4871</v>
      </c>
      <c r="J1773" s="1" t="s">
        <v>4872</v>
      </c>
      <c r="K1773" s="1" t="n">
        <f aca="false">IF(Search!$D$5="",0,IF(AND(OR(Search!$N$5="",ISNUMBER(SEARCH(Search!$N$5,J1773))),OR(Search!$N$6="",ISNUMBER(SEARCH(Search!$N$6,J1773))),OR(Search!$N$7="",ISNUMBER(SEARCH(Search!$N$7,J1773))),OR(Search!$N$8="",ISNUMBER(SEARCH(Search!$N$8,J1773)))),1,0))</f>
        <v>0</v>
      </c>
      <c r="L1773" s="1" t="n">
        <f aca="false">L1772+K1773</f>
        <v>0</v>
      </c>
    </row>
    <row r="1774" customFormat="false" ht="15" hidden="false" customHeight="true" outlineLevel="0" collapsed="false">
      <c r="A1774" s="1" t="s">
        <v>346</v>
      </c>
      <c r="B1774" s="1" t="s">
        <v>4474</v>
      </c>
      <c r="C1774" s="1" t="n">
        <v>13</v>
      </c>
      <c r="E1774" s="1" t="s">
        <v>4873</v>
      </c>
      <c r="J1774" s="1" t="s">
        <v>4873</v>
      </c>
      <c r="K1774" s="1" t="n">
        <f aca="false">IF(Search!$D$5="",0,IF(AND(OR(Search!$N$5="",ISNUMBER(SEARCH(Search!$N$5,J1774))),OR(Search!$N$6="",ISNUMBER(SEARCH(Search!$N$6,J1774))),OR(Search!$N$7="",ISNUMBER(SEARCH(Search!$N$7,J1774))),OR(Search!$N$8="",ISNUMBER(SEARCH(Search!$N$8,J1774)))),1,0))</f>
        <v>0</v>
      </c>
      <c r="L1774" s="1" t="n">
        <f aca="false">L1773+K1774</f>
        <v>0</v>
      </c>
    </row>
    <row r="1775" customFormat="false" ht="41.25" hidden="false" customHeight="true" outlineLevel="0" collapsed="false">
      <c r="A1775" s="1" t="s">
        <v>346</v>
      </c>
      <c r="B1775" s="1" t="s">
        <v>4474</v>
      </c>
      <c r="C1775" s="1" t="n">
        <v>14</v>
      </c>
      <c r="E1775" s="1" t="s">
        <v>4874</v>
      </c>
      <c r="F1775" s="46" t="s">
        <v>4875</v>
      </c>
      <c r="G1775" s="1" t="s">
        <v>4876</v>
      </c>
      <c r="H1775" s="46" t="s">
        <v>4877</v>
      </c>
      <c r="J1775" s="46" t="s">
        <v>4878</v>
      </c>
      <c r="K1775" s="1" t="n">
        <f aca="false">IF(Search!$D$5="",0,IF(AND(OR(Search!$N$5="",ISNUMBER(SEARCH(Search!$N$5,J1775))),OR(Search!$N$6="",ISNUMBER(SEARCH(Search!$N$6,J1775))),OR(Search!$N$7="",ISNUMBER(SEARCH(Search!$N$7,J1775))),OR(Search!$N$8="",ISNUMBER(SEARCH(Search!$N$8,J1775)))),1,0))</f>
        <v>0</v>
      </c>
      <c r="L1775" s="1" t="n">
        <f aca="false">L1774+K1775</f>
        <v>0</v>
      </c>
    </row>
    <row r="1776" customFormat="false" ht="15" hidden="false" customHeight="true" outlineLevel="0" collapsed="false">
      <c r="A1776" s="1" t="s">
        <v>346</v>
      </c>
      <c r="B1776" s="1" t="s">
        <v>4474</v>
      </c>
      <c r="C1776" s="1" t="n">
        <v>15</v>
      </c>
      <c r="E1776" s="1" t="s">
        <v>4879</v>
      </c>
      <c r="F1776" s="1" t="s">
        <v>4342</v>
      </c>
      <c r="G1776" s="1" t="s">
        <v>4650</v>
      </c>
      <c r="H1776" s="1" t="s">
        <v>4650</v>
      </c>
      <c r="J1776" s="1" t="s">
        <v>4880</v>
      </c>
      <c r="K1776" s="1" t="n">
        <f aca="false">IF(Search!$D$5="",0,IF(AND(OR(Search!$N$5="",ISNUMBER(SEARCH(Search!$N$5,J1776))),OR(Search!$N$6="",ISNUMBER(SEARCH(Search!$N$6,J1776))),OR(Search!$N$7="",ISNUMBER(SEARCH(Search!$N$7,J1776))),OR(Search!$N$8="",ISNUMBER(SEARCH(Search!$N$8,J1776)))),1,0))</f>
        <v>0</v>
      </c>
      <c r="L1776" s="1" t="n">
        <f aca="false">L1775+K1776</f>
        <v>0</v>
      </c>
    </row>
    <row r="1777" customFormat="false" ht="15" hidden="false" customHeight="true" outlineLevel="0" collapsed="false">
      <c r="A1777" s="1" t="s">
        <v>346</v>
      </c>
      <c r="B1777" s="1" t="s">
        <v>4474</v>
      </c>
      <c r="C1777" s="1" t="n">
        <v>16</v>
      </c>
      <c r="E1777" s="1" t="s">
        <v>4881</v>
      </c>
      <c r="F1777" s="1" t="s">
        <v>624</v>
      </c>
      <c r="G1777" s="1" t="s">
        <v>4650</v>
      </c>
      <c r="H1777" s="1" t="s">
        <v>4650</v>
      </c>
      <c r="J1777" s="1" t="s">
        <v>4882</v>
      </c>
      <c r="K1777" s="1" t="n">
        <f aca="false">IF(Search!$D$5="",0,IF(AND(OR(Search!$N$5="",ISNUMBER(SEARCH(Search!$N$5,J1777))),OR(Search!$N$6="",ISNUMBER(SEARCH(Search!$N$6,J1777))),OR(Search!$N$7="",ISNUMBER(SEARCH(Search!$N$7,J1777))),OR(Search!$N$8="",ISNUMBER(SEARCH(Search!$N$8,J1777)))),1,0))</f>
        <v>0</v>
      </c>
      <c r="L1777" s="1" t="n">
        <f aca="false">L1776+K1777</f>
        <v>0</v>
      </c>
    </row>
    <row r="1778" customFormat="false" ht="15" hidden="false" customHeight="true" outlineLevel="0" collapsed="false">
      <c r="A1778" s="1" t="s">
        <v>346</v>
      </c>
      <c r="B1778" s="1" t="s">
        <v>4474</v>
      </c>
      <c r="C1778" s="1" t="n">
        <v>17</v>
      </c>
      <c r="E1778" s="1" t="s">
        <v>4883</v>
      </c>
      <c r="F1778" s="1" t="s">
        <v>4884</v>
      </c>
      <c r="G1778" s="1" t="s">
        <v>4650</v>
      </c>
      <c r="H1778" s="1" t="s">
        <v>4650</v>
      </c>
      <c r="J1778" s="1" t="s">
        <v>4885</v>
      </c>
      <c r="K1778" s="1" t="n">
        <f aca="false">IF(Search!$D$5="",0,IF(AND(OR(Search!$N$5="",ISNUMBER(SEARCH(Search!$N$5,J1778))),OR(Search!$N$6="",ISNUMBER(SEARCH(Search!$N$6,J1778))),OR(Search!$N$7="",ISNUMBER(SEARCH(Search!$N$7,J1778))),OR(Search!$N$8="",ISNUMBER(SEARCH(Search!$N$8,J1778)))),1,0))</f>
        <v>0</v>
      </c>
      <c r="L1778" s="1" t="n">
        <f aca="false">L1777+K1778</f>
        <v>0</v>
      </c>
    </row>
    <row r="1779" customFormat="false" ht="15" hidden="false" customHeight="true" outlineLevel="0" collapsed="false">
      <c r="A1779" s="1" t="s">
        <v>346</v>
      </c>
      <c r="B1779" s="1" t="s">
        <v>4474</v>
      </c>
      <c r="C1779" s="1" t="n">
        <v>18</v>
      </c>
      <c r="E1779" s="1" t="s">
        <v>4886</v>
      </c>
      <c r="F1779" s="1" t="s">
        <v>4342</v>
      </c>
      <c r="G1779" s="1" t="s">
        <v>1045</v>
      </c>
      <c r="H1779" s="1" t="s">
        <v>4650</v>
      </c>
      <c r="J1779" s="1" t="s">
        <v>4887</v>
      </c>
      <c r="K1779" s="1" t="n">
        <f aca="false">IF(Search!$D$5="",0,IF(AND(OR(Search!$N$5="",ISNUMBER(SEARCH(Search!$N$5,J1779))),OR(Search!$N$6="",ISNUMBER(SEARCH(Search!$N$6,J1779))),OR(Search!$N$7="",ISNUMBER(SEARCH(Search!$N$7,J1779))),OR(Search!$N$8="",ISNUMBER(SEARCH(Search!$N$8,J1779)))),1,0))</f>
        <v>0</v>
      </c>
      <c r="L1779" s="1" t="n">
        <f aca="false">L1778+K1779</f>
        <v>0</v>
      </c>
    </row>
    <row r="1780" customFormat="false" ht="15" hidden="false" customHeight="true" outlineLevel="0" collapsed="false">
      <c r="A1780" s="1" t="s">
        <v>346</v>
      </c>
      <c r="B1780" s="1" t="s">
        <v>4474</v>
      </c>
      <c r="C1780" s="1" t="n">
        <v>19</v>
      </c>
      <c r="E1780" s="1" t="s">
        <v>4888</v>
      </c>
      <c r="F1780" s="1" t="s">
        <v>4889</v>
      </c>
      <c r="G1780" s="1" t="s">
        <v>4650</v>
      </c>
      <c r="H1780" s="1" t="s">
        <v>4650</v>
      </c>
      <c r="J1780" s="1" t="s">
        <v>4890</v>
      </c>
      <c r="K1780" s="1" t="n">
        <f aca="false">IF(Search!$D$5="",0,IF(AND(OR(Search!$N$5="",ISNUMBER(SEARCH(Search!$N$5,J1780))),OR(Search!$N$6="",ISNUMBER(SEARCH(Search!$N$6,J1780))),OR(Search!$N$7="",ISNUMBER(SEARCH(Search!$N$7,J1780))),OR(Search!$N$8="",ISNUMBER(SEARCH(Search!$N$8,J1780)))),1,0))</f>
        <v>0</v>
      </c>
      <c r="L1780" s="1" t="n">
        <f aca="false">L1779+K1780</f>
        <v>0</v>
      </c>
    </row>
    <row r="1781" customFormat="false" ht="15" hidden="false" customHeight="true" outlineLevel="0" collapsed="false">
      <c r="A1781" s="1" t="s">
        <v>346</v>
      </c>
      <c r="B1781" s="1" t="s">
        <v>4474</v>
      </c>
      <c r="C1781" s="1" t="n">
        <v>20</v>
      </c>
      <c r="E1781" s="1" t="s">
        <v>4891</v>
      </c>
      <c r="F1781" s="1" t="s">
        <v>4892</v>
      </c>
      <c r="G1781" s="1" t="s">
        <v>4650</v>
      </c>
      <c r="H1781" s="1" t="s">
        <v>4650</v>
      </c>
      <c r="J1781" s="1" t="s">
        <v>4893</v>
      </c>
      <c r="K1781" s="1" t="n">
        <f aca="false">IF(Search!$D$5="",0,IF(AND(OR(Search!$N$5="",ISNUMBER(SEARCH(Search!$N$5,J1781))),OR(Search!$N$6="",ISNUMBER(SEARCH(Search!$N$6,J1781))),OR(Search!$N$7="",ISNUMBER(SEARCH(Search!$N$7,J1781))),OR(Search!$N$8="",ISNUMBER(SEARCH(Search!$N$8,J1781)))),1,0))</f>
        <v>0</v>
      </c>
      <c r="L1781" s="1" t="n">
        <f aca="false">L1780+K1781</f>
        <v>0</v>
      </c>
    </row>
    <row r="1782" customFormat="false" ht="15" hidden="false" customHeight="true" outlineLevel="0" collapsed="false">
      <c r="A1782" s="1" t="s">
        <v>346</v>
      </c>
      <c r="B1782" s="1" t="s">
        <v>4474</v>
      </c>
      <c r="C1782" s="1" t="n">
        <v>21</v>
      </c>
      <c r="E1782" s="1" t="s">
        <v>4894</v>
      </c>
      <c r="H1782" s="1" t="s">
        <v>4650</v>
      </c>
      <c r="J1782" s="1" t="s">
        <v>4895</v>
      </c>
      <c r="K1782" s="1" t="n">
        <f aca="false">IF(Search!$D$5="",0,IF(AND(OR(Search!$N$5="",ISNUMBER(SEARCH(Search!$N$5,J1782))),OR(Search!$N$6="",ISNUMBER(SEARCH(Search!$N$6,J1782))),OR(Search!$N$7="",ISNUMBER(SEARCH(Search!$N$7,J1782))),OR(Search!$N$8="",ISNUMBER(SEARCH(Search!$N$8,J1782)))),1,0))</f>
        <v>0</v>
      </c>
      <c r="L1782" s="1" t="n">
        <f aca="false">L1781+K1782</f>
        <v>0</v>
      </c>
    </row>
    <row r="1783" customFormat="false" ht="15" hidden="false" customHeight="true" outlineLevel="0" collapsed="false">
      <c r="A1783" s="1" t="s">
        <v>346</v>
      </c>
      <c r="B1783" s="1" t="s">
        <v>4474</v>
      </c>
      <c r="C1783" s="1" t="n">
        <v>23</v>
      </c>
      <c r="E1783" s="1" t="s">
        <v>4896</v>
      </c>
      <c r="J1783" s="1" t="s">
        <v>4896</v>
      </c>
      <c r="K1783" s="1" t="n">
        <f aca="false">IF(Search!$D$5="",0,IF(AND(OR(Search!$N$5="",ISNUMBER(SEARCH(Search!$N$5,J1783))),OR(Search!$N$6="",ISNUMBER(SEARCH(Search!$N$6,J1783))),OR(Search!$N$7="",ISNUMBER(SEARCH(Search!$N$7,J1783))),OR(Search!$N$8="",ISNUMBER(SEARCH(Search!$N$8,J1783)))),1,0))</f>
        <v>0</v>
      </c>
      <c r="L1783" s="1" t="n">
        <f aca="false">L1782+K1783</f>
        <v>0</v>
      </c>
    </row>
    <row r="1784" customFormat="false" ht="54.75" hidden="false" customHeight="true" outlineLevel="0" collapsed="false">
      <c r="A1784" s="1" t="s">
        <v>346</v>
      </c>
      <c r="B1784" s="1" t="s">
        <v>4474</v>
      </c>
      <c r="C1784" s="1" t="n">
        <v>24</v>
      </c>
      <c r="E1784" s="1" t="s">
        <v>4897</v>
      </c>
      <c r="F1784" s="46" t="s">
        <v>4898</v>
      </c>
      <c r="G1784" s="46" t="s">
        <v>4899</v>
      </c>
      <c r="H1784" s="46" t="s">
        <v>4877</v>
      </c>
      <c r="J1784" s="46" t="s">
        <v>4900</v>
      </c>
      <c r="K1784" s="1" t="n">
        <f aca="false">IF(Search!$D$5="",0,IF(AND(OR(Search!$N$5="",ISNUMBER(SEARCH(Search!$N$5,J1784))),OR(Search!$N$6="",ISNUMBER(SEARCH(Search!$N$6,J1784))),OR(Search!$N$7="",ISNUMBER(SEARCH(Search!$N$7,J1784))),OR(Search!$N$8="",ISNUMBER(SEARCH(Search!$N$8,J1784)))),1,0))</f>
        <v>0</v>
      </c>
      <c r="L1784" s="1" t="n">
        <f aca="false">L1783+K1784</f>
        <v>0</v>
      </c>
    </row>
    <row r="1785" customFormat="false" ht="15" hidden="false" customHeight="true" outlineLevel="0" collapsed="false">
      <c r="A1785" s="1" t="s">
        <v>346</v>
      </c>
      <c r="B1785" s="1" t="s">
        <v>4474</v>
      </c>
      <c r="C1785" s="1" t="n">
        <v>25</v>
      </c>
      <c r="E1785" s="1" t="s">
        <v>4901</v>
      </c>
      <c r="F1785" s="1" t="s">
        <v>987</v>
      </c>
      <c r="G1785" s="1" t="s">
        <v>4650</v>
      </c>
      <c r="H1785" s="1" t="s">
        <v>4650</v>
      </c>
      <c r="J1785" s="1" t="s">
        <v>4902</v>
      </c>
      <c r="K1785" s="1" t="n">
        <f aca="false">IF(Search!$D$5="",0,IF(AND(OR(Search!$N$5="",ISNUMBER(SEARCH(Search!$N$5,J1785))),OR(Search!$N$6="",ISNUMBER(SEARCH(Search!$N$6,J1785))),OR(Search!$N$7="",ISNUMBER(SEARCH(Search!$N$7,J1785))),OR(Search!$N$8="",ISNUMBER(SEARCH(Search!$N$8,J1785)))),1,0))</f>
        <v>0</v>
      </c>
      <c r="L1785" s="1" t="n">
        <f aca="false">L1784+K1785</f>
        <v>0</v>
      </c>
    </row>
    <row r="1786" customFormat="false" ht="15" hidden="false" customHeight="true" outlineLevel="0" collapsed="false">
      <c r="A1786" s="1" t="s">
        <v>346</v>
      </c>
      <c r="B1786" s="1" t="s">
        <v>4474</v>
      </c>
      <c r="C1786" s="1" t="n">
        <v>26</v>
      </c>
      <c r="E1786" s="1" t="s">
        <v>4903</v>
      </c>
      <c r="F1786" s="1" t="s">
        <v>1834</v>
      </c>
      <c r="G1786" s="1" t="s">
        <v>4650</v>
      </c>
      <c r="H1786" s="1" t="s">
        <v>4650</v>
      </c>
      <c r="J1786" s="1" t="s">
        <v>4904</v>
      </c>
      <c r="K1786" s="1" t="n">
        <f aca="false">IF(Search!$D$5="",0,IF(AND(OR(Search!$N$5="",ISNUMBER(SEARCH(Search!$N$5,J1786))),OR(Search!$N$6="",ISNUMBER(SEARCH(Search!$N$6,J1786))),OR(Search!$N$7="",ISNUMBER(SEARCH(Search!$N$7,J1786))),OR(Search!$N$8="",ISNUMBER(SEARCH(Search!$N$8,J1786)))),1,0))</f>
        <v>0</v>
      </c>
      <c r="L1786" s="1" t="n">
        <f aca="false">L1785+K1786</f>
        <v>0</v>
      </c>
    </row>
    <row r="1787" customFormat="false" ht="15" hidden="false" customHeight="true" outlineLevel="0" collapsed="false">
      <c r="A1787" s="1" t="s">
        <v>346</v>
      </c>
      <c r="B1787" s="1" t="s">
        <v>4474</v>
      </c>
      <c r="C1787" s="1" t="n">
        <v>27</v>
      </c>
      <c r="E1787" s="1" t="s">
        <v>4905</v>
      </c>
      <c r="F1787" s="1" t="s">
        <v>1847</v>
      </c>
      <c r="G1787" s="1" t="s">
        <v>4650</v>
      </c>
      <c r="H1787" s="1" t="s">
        <v>4650</v>
      </c>
      <c r="J1787" s="1" t="s">
        <v>4906</v>
      </c>
      <c r="K1787" s="1" t="n">
        <f aca="false">IF(Search!$D$5="",0,IF(AND(OR(Search!$N$5="",ISNUMBER(SEARCH(Search!$N$5,J1787))),OR(Search!$N$6="",ISNUMBER(SEARCH(Search!$N$6,J1787))),OR(Search!$N$7="",ISNUMBER(SEARCH(Search!$N$7,J1787))),OR(Search!$N$8="",ISNUMBER(SEARCH(Search!$N$8,J1787)))),1,0))</f>
        <v>0</v>
      </c>
      <c r="L1787" s="1" t="n">
        <f aca="false">L1786+K1787</f>
        <v>0</v>
      </c>
    </row>
    <row r="1788" customFormat="false" ht="15" hidden="false" customHeight="true" outlineLevel="0" collapsed="false">
      <c r="A1788" s="1" t="s">
        <v>346</v>
      </c>
      <c r="B1788" s="1" t="s">
        <v>4474</v>
      </c>
      <c r="C1788" s="1" t="n">
        <v>28</v>
      </c>
      <c r="E1788" s="1" t="s">
        <v>4907</v>
      </c>
      <c r="F1788" s="1" t="s">
        <v>2850</v>
      </c>
      <c r="G1788" s="1" t="s">
        <v>1045</v>
      </c>
      <c r="H1788" s="1" t="s">
        <v>4650</v>
      </c>
      <c r="J1788" s="1" t="s">
        <v>4908</v>
      </c>
      <c r="K1788" s="1" t="n">
        <f aca="false">IF(Search!$D$5="",0,IF(AND(OR(Search!$N$5="",ISNUMBER(SEARCH(Search!$N$5,J1788))),OR(Search!$N$6="",ISNUMBER(SEARCH(Search!$N$6,J1788))),OR(Search!$N$7="",ISNUMBER(SEARCH(Search!$N$7,J1788))),OR(Search!$N$8="",ISNUMBER(SEARCH(Search!$N$8,J1788)))),1,0))</f>
        <v>0</v>
      </c>
      <c r="L1788" s="1" t="n">
        <f aca="false">L1787+K1788</f>
        <v>0</v>
      </c>
    </row>
    <row r="1789" customFormat="false" ht="15" hidden="false" customHeight="true" outlineLevel="0" collapsed="false">
      <c r="A1789" s="1" t="s">
        <v>346</v>
      </c>
      <c r="B1789" s="1" t="s">
        <v>4474</v>
      </c>
      <c r="C1789" s="1" t="n">
        <v>29</v>
      </c>
      <c r="E1789" s="1" t="s">
        <v>4909</v>
      </c>
      <c r="J1789" s="1" t="s">
        <v>4909</v>
      </c>
      <c r="K1789" s="1" t="n">
        <f aca="false">IF(Search!$D$5="",0,IF(AND(OR(Search!$N$5="",ISNUMBER(SEARCH(Search!$N$5,J1789))),OR(Search!$N$6="",ISNUMBER(SEARCH(Search!$N$6,J1789))),OR(Search!$N$7="",ISNUMBER(SEARCH(Search!$N$7,J1789))),OR(Search!$N$8="",ISNUMBER(SEARCH(Search!$N$8,J1789)))),1,0))</f>
        <v>0</v>
      </c>
      <c r="L1789" s="1" t="n">
        <f aca="false">L1788+K1789</f>
        <v>0</v>
      </c>
    </row>
    <row r="1790" customFormat="false" ht="15" hidden="false" customHeight="true" outlineLevel="0" collapsed="false">
      <c r="A1790" s="1" t="s">
        <v>346</v>
      </c>
      <c r="B1790" s="1" t="s">
        <v>4474</v>
      </c>
      <c r="C1790" s="1" t="n">
        <v>30</v>
      </c>
      <c r="E1790" s="1" t="s">
        <v>4910</v>
      </c>
      <c r="H1790" s="1" t="s">
        <v>4650</v>
      </c>
      <c r="J1790" s="1" t="s">
        <v>4911</v>
      </c>
      <c r="K1790" s="1" t="n">
        <f aca="false">IF(Search!$D$5="",0,IF(AND(OR(Search!$N$5="",ISNUMBER(SEARCH(Search!$N$5,J1790))),OR(Search!$N$6="",ISNUMBER(SEARCH(Search!$N$6,J1790))),OR(Search!$N$7="",ISNUMBER(SEARCH(Search!$N$7,J1790))),OR(Search!$N$8="",ISNUMBER(SEARCH(Search!$N$8,J1790)))),1,0))</f>
        <v>0</v>
      </c>
      <c r="L1790" s="1" t="n">
        <f aca="false">L1789+K1790</f>
        <v>0</v>
      </c>
    </row>
    <row r="1791" customFormat="false" ht="15" hidden="false" customHeight="true" outlineLevel="0" collapsed="false">
      <c r="A1791" s="1" t="s">
        <v>346</v>
      </c>
      <c r="B1791" s="1" t="s">
        <v>4474</v>
      </c>
      <c r="C1791" s="1" t="n">
        <v>32</v>
      </c>
      <c r="E1791" s="1" t="s">
        <v>4912</v>
      </c>
      <c r="J1791" s="1" t="s">
        <v>4912</v>
      </c>
      <c r="K1791" s="1" t="n">
        <f aca="false">IF(Search!$D$5="",0,IF(AND(OR(Search!$N$5="",ISNUMBER(SEARCH(Search!$N$5,J1791))),OR(Search!$N$6="",ISNUMBER(SEARCH(Search!$N$6,J1791))),OR(Search!$N$7="",ISNUMBER(SEARCH(Search!$N$7,J1791))),OR(Search!$N$8="",ISNUMBER(SEARCH(Search!$N$8,J1791)))),1,0))</f>
        <v>0</v>
      </c>
      <c r="L1791" s="1" t="n">
        <f aca="false">L1790+K1791</f>
        <v>0</v>
      </c>
    </row>
    <row r="1792" customFormat="false" ht="15" hidden="false" customHeight="true" outlineLevel="0" collapsed="false">
      <c r="A1792" s="1" t="s">
        <v>346</v>
      </c>
      <c r="B1792" s="1" t="s">
        <v>4474</v>
      </c>
      <c r="C1792" s="1" t="n">
        <v>33</v>
      </c>
      <c r="E1792" s="1" t="s">
        <v>4855</v>
      </c>
      <c r="F1792" s="1" t="s">
        <v>4856</v>
      </c>
      <c r="G1792" s="1" t="s">
        <v>4857</v>
      </c>
      <c r="H1792" s="1" t="s">
        <v>4753</v>
      </c>
      <c r="J1792" s="1" t="s">
        <v>4858</v>
      </c>
      <c r="K1792" s="1" t="n">
        <f aca="false">IF(Search!$D$5="",0,IF(AND(OR(Search!$N$5="",ISNUMBER(SEARCH(Search!$N$5,J1792))),OR(Search!$N$6="",ISNUMBER(SEARCH(Search!$N$6,J1792))),OR(Search!$N$7="",ISNUMBER(SEARCH(Search!$N$7,J1792))),OR(Search!$N$8="",ISNUMBER(SEARCH(Search!$N$8,J1792)))),1,0))</f>
        <v>0</v>
      </c>
      <c r="L1792" s="1" t="n">
        <f aca="false">L1791+K1792</f>
        <v>0</v>
      </c>
    </row>
    <row r="1793" customFormat="false" ht="15" hidden="false" customHeight="true" outlineLevel="0" collapsed="false">
      <c r="A1793" s="1" t="s">
        <v>346</v>
      </c>
      <c r="B1793" s="1" t="s">
        <v>4474</v>
      </c>
      <c r="C1793" s="1" t="n">
        <v>34</v>
      </c>
      <c r="E1793" s="1" t="s">
        <v>4913</v>
      </c>
      <c r="F1793" s="1" t="s">
        <v>4914</v>
      </c>
      <c r="G1793" s="1" t="s">
        <v>579</v>
      </c>
      <c r="H1793" s="1" t="s">
        <v>4915</v>
      </c>
      <c r="J1793" s="1" t="s">
        <v>4916</v>
      </c>
      <c r="K1793" s="1" t="n">
        <f aca="false">IF(Search!$D$5="",0,IF(AND(OR(Search!$N$5="",ISNUMBER(SEARCH(Search!$N$5,J1793))),OR(Search!$N$6="",ISNUMBER(SEARCH(Search!$N$6,J1793))),OR(Search!$N$7="",ISNUMBER(SEARCH(Search!$N$7,J1793))),OR(Search!$N$8="",ISNUMBER(SEARCH(Search!$N$8,J1793)))),1,0))</f>
        <v>0</v>
      </c>
      <c r="L1793" s="1" t="n">
        <f aca="false">L1792+K1793</f>
        <v>0</v>
      </c>
    </row>
    <row r="1794" customFormat="false" ht="15" hidden="false" customHeight="true" outlineLevel="0" collapsed="false">
      <c r="A1794" s="1" t="s">
        <v>346</v>
      </c>
      <c r="B1794" s="1" t="s">
        <v>4474</v>
      </c>
      <c r="C1794" s="1" t="n">
        <v>35</v>
      </c>
      <c r="E1794" s="1" t="s">
        <v>4917</v>
      </c>
      <c r="F1794" s="1" t="s">
        <v>4918</v>
      </c>
      <c r="G1794" s="1" t="s">
        <v>1846</v>
      </c>
      <c r="H1794" s="1" t="s">
        <v>4919</v>
      </c>
      <c r="J1794" s="1" t="s">
        <v>4920</v>
      </c>
      <c r="K1794" s="1" t="n">
        <f aca="false">IF(Search!$D$5="",0,IF(AND(OR(Search!$N$5="",ISNUMBER(SEARCH(Search!$N$5,J1794))),OR(Search!$N$6="",ISNUMBER(SEARCH(Search!$N$6,J1794))),OR(Search!$N$7="",ISNUMBER(SEARCH(Search!$N$7,J1794))),OR(Search!$N$8="",ISNUMBER(SEARCH(Search!$N$8,J1794)))),1,0))</f>
        <v>0</v>
      </c>
      <c r="L1794" s="1" t="n">
        <f aca="false">L1793+K1794</f>
        <v>0</v>
      </c>
    </row>
    <row r="1795" customFormat="false" ht="15" hidden="false" customHeight="true" outlineLevel="0" collapsed="false">
      <c r="A1795" s="1" t="s">
        <v>346</v>
      </c>
      <c r="B1795" s="1" t="s">
        <v>4474</v>
      </c>
      <c r="C1795" s="1" t="n">
        <v>36</v>
      </c>
      <c r="E1795" s="1" t="s">
        <v>4921</v>
      </c>
      <c r="F1795" s="1" t="s">
        <v>4922</v>
      </c>
      <c r="G1795" s="1" t="s">
        <v>4650</v>
      </c>
      <c r="H1795" s="1" t="s">
        <v>4923</v>
      </c>
      <c r="J1795" s="1" t="s">
        <v>4924</v>
      </c>
      <c r="K1795" s="1" t="n">
        <f aca="false">IF(Search!$D$5="",0,IF(AND(OR(Search!$N$5="",ISNUMBER(SEARCH(Search!$N$5,J1795))),OR(Search!$N$6="",ISNUMBER(SEARCH(Search!$N$6,J1795))),OR(Search!$N$7="",ISNUMBER(SEARCH(Search!$N$7,J1795))),OR(Search!$N$8="",ISNUMBER(SEARCH(Search!$N$8,J1795)))),1,0))</f>
        <v>0</v>
      </c>
      <c r="L1795" s="1" t="n">
        <f aca="false">L1794+K1795</f>
        <v>0</v>
      </c>
    </row>
    <row r="1796" customFormat="false" ht="15" hidden="false" customHeight="true" outlineLevel="0" collapsed="false">
      <c r="A1796" s="1" t="s">
        <v>346</v>
      </c>
      <c r="B1796" s="1" t="s">
        <v>4474</v>
      </c>
      <c r="C1796" s="1" t="n">
        <v>37</v>
      </c>
      <c r="E1796" s="1" t="s">
        <v>4925</v>
      </c>
      <c r="F1796" s="1" t="s">
        <v>4926</v>
      </c>
      <c r="G1796" s="1" t="s">
        <v>2989</v>
      </c>
      <c r="H1796" s="1" t="s">
        <v>524</v>
      </c>
      <c r="J1796" s="1" t="s">
        <v>4927</v>
      </c>
      <c r="K1796" s="1" t="n">
        <f aca="false">IF(Search!$D$5="",0,IF(AND(OR(Search!$N$5="",ISNUMBER(SEARCH(Search!$N$5,J1796))),OR(Search!$N$6="",ISNUMBER(SEARCH(Search!$N$6,J1796))),OR(Search!$N$7="",ISNUMBER(SEARCH(Search!$N$7,J1796))),OR(Search!$N$8="",ISNUMBER(SEARCH(Search!$N$8,J1796)))),1,0))</f>
        <v>0</v>
      </c>
      <c r="L1796" s="1" t="n">
        <f aca="false">L1795+K1796</f>
        <v>0</v>
      </c>
    </row>
    <row r="1797" customFormat="false" ht="15" hidden="false" customHeight="true" outlineLevel="0" collapsed="false">
      <c r="A1797" s="1" t="s">
        <v>346</v>
      </c>
      <c r="B1797" s="1" t="s">
        <v>4474</v>
      </c>
      <c r="C1797" s="1" t="n">
        <v>38</v>
      </c>
      <c r="E1797" s="1" t="s">
        <v>4928</v>
      </c>
      <c r="F1797" s="1" t="s">
        <v>4929</v>
      </c>
      <c r="G1797" s="1" t="s">
        <v>2838</v>
      </c>
      <c r="H1797" s="1" t="s">
        <v>4654</v>
      </c>
      <c r="J1797" s="1" t="s">
        <v>4930</v>
      </c>
      <c r="K1797" s="1" t="n">
        <f aca="false">IF(Search!$D$5="",0,IF(AND(OR(Search!$N$5="",ISNUMBER(SEARCH(Search!$N$5,J1797))),OR(Search!$N$6="",ISNUMBER(SEARCH(Search!$N$6,J1797))),OR(Search!$N$7="",ISNUMBER(SEARCH(Search!$N$7,J1797))),OR(Search!$N$8="",ISNUMBER(SEARCH(Search!$N$8,J1797)))),1,0))</f>
        <v>0</v>
      </c>
      <c r="L1797" s="1" t="n">
        <f aca="false">L1796+K1797</f>
        <v>0</v>
      </c>
    </row>
    <row r="1798" customFormat="false" ht="15" hidden="false" customHeight="true" outlineLevel="0" collapsed="false">
      <c r="A1798" s="1" t="s">
        <v>346</v>
      </c>
      <c r="B1798" s="1" t="s">
        <v>4474</v>
      </c>
      <c r="C1798" s="1" t="n">
        <v>39</v>
      </c>
      <c r="E1798" s="1" t="s">
        <v>4931</v>
      </c>
      <c r="F1798" s="1" t="s">
        <v>4932</v>
      </c>
      <c r="G1798" s="1" t="s">
        <v>4650</v>
      </c>
      <c r="H1798" s="1" t="s">
        <v>4654</v>
      </c>
      <c r="J1798" s="1" t="s">
        <v>4933</v>
      </c>
      <c r="K1798" s="1" t="n">
        <f aca="false">IF(Search!$D$5="",0,IF(AND(OR(Search!$N$5="",ISNUMBER(SEARCH(Search!$N$5,J1798))),OR(Search!$N$6="",ISNUMBER(SEARCH(Search!$N$6,J1798))),OR(Search!$N$7="",ISNUMBER(SEARCH(Search!$N$7,J1798))),OR(Search!$N$8="",ISNUMBER(SEARCH(Search!$N$8,J1798)))),1,0))</f>
        <v>0</v>
      </c>
      <c r="L1798" s="1" t="n">
        <f aca="false">L1797+K1798</f>
        <v>0</v>
      </c>
    </row>
    <row r="1799" customFormat="false" ht="15" hidden="false" customHeight="true" outlineLevel="0" collapsed="false">
      <c r="A1799" s="1" t="s">
        <v>346</v>
      </c>
      <c r="B1799" s="1" t="s">
        <v>4474</v>
      </c>
      <c r="C1799" s="1" t="n">
        <v>40</v>
      </c>
      <c r="E1799" s="1" t="s">
        <v>4934</v>
      </c>
      <c r="F1799" s="1" t="s">
        <v>4935</v>
      </c>
      <c r="G1799" s="1" t="s">
        <v>4650</v>
      </c>
      <c r="H1799" s="1" t="s">
        <v>4673</v>
      </c>
      <c r="J1799" s="1" t="s">
        <v>4936</v>
      </c>
      <c r="K1799" s="1" t="n">
        <f aca="false">IF(Search!$D$5="",0,IF(AND(OR(Search!$N$5="",ISNUMBER(SEARCH(Search!$N$5,J1799))),OR(Search!$N$6="",ISNUMBER(SEARCH(Search!$N$6,J1799))),OR(Search!$N$7="",ISNUMBER(SEARCH(Search!$N$7,J1799))),OR(Search!$N$8="",ISNUMBER(SEARCH(Search!$N$8,J1799)))),1,0))</f>
        <v>0</v>
      </c>
      <c r="L1799" s="1" t="n">
        <f aca="false">L1798+K1799</f>
        <v>0</v>
      </c>
    </row>
    <row r="1800" customFormat="false" ht="15" hidden="false" customHeight="true" outlineLevel="0" collapsed="false">
      <c r="A1800" s="1" t="s">
        <v>346</v>
      </c>
      <c r="B1800" s="1" t="s">
        <v>4474</v>
      </c>
      <c r="C1800" s="1" t="n">
        <v>43</v>
      </c>
      <c r="E1800" s="1" t="s">
        <v>4937</v>
      </c>
      <c r="J1800" s="1" t="s">
        <v>4937</v>
      </c>
      <c r="K1800" s="1" t="n">
        <f aca="false">IF(Search!$D$5="",0,IF(AND(OR(Search!$N$5="",ISNUMBER(SEARCH(Search!$N$5,J1800))),OR(Search!$N$6="",ISNUMBER(SEARCH(Search!$N$6,J1800))),OR(Search!$N$7="",ISNUMBER(SEARCH(Search!$N$7,J1800))),OR(Search!$N$8="",ISNUMBER(SEARCH(Search!$N$8,J1800)))),1,0))</f>
        <v>0</v>
      </c>
      <c r="L1800" s="1" t="n">
        <f aca="false">L1799+K1800</f>
        <v>0</v>
      </c>
    </row>
    <row r="1801" customFormat="false" ht="41.25" hidden="false" customHeight="true" outlineLevel="0" collapsed="false">
      <c r="A1801" s="1" t="s">
        <v>346</v>
      </c>
      <c r="B1801" s="1" t="s">
        <v>4474</v>
      </c>
      <c r="C1801" s="1" t="n">
        <v>44</v>
      </c>
      <c r="E1801" s="1" t="s">
        <v>4938</v>
      </c>
      <c r="F1801" s="1" t="s">
        <v>4939</v>
      </c>
      <c r="G1801" s="46" t="s">
        <v>4940</v>
      </c>
      <c r="H1801" s="46" t="s">
        <v>4941</v>
      </c>
      <c r="J1801" s="46" t="s">
        <v>4942</v>
      </c>
      <c r="K1801" s="1" t="n">
        <f aca="false">IF(Search!$D$5="",0,IF(AND(OR(Search!$N$5="",ISNUMBER(SEARCH(Search!$N$5,J1801))),OR(Search!$N$6="",ISNUMBER(SEARCH(Search!$N$6,J1801))),OR(Search!$N$7="",ISNUMBER(SEARCH(Search!$N$7,J1801))),OR(Search!$N$8="",ISNUMBER(SEARCH(Search!$N$8,J1801)))),1,0))</f>
        <v>0</v>
      </c>
      <c r="L1801" s="1" t="n">
        <f aca="false">L1800+K1801</f>
        <v>0</v>
      </c>
    </row>
    <row r="1802" customFormat="false" ht="15" hidden="false" customHeight="true" outlineLevel="0" collapsed="false">
      <c r="A1802" s="1" t="s">
        <v>346</v>
      </c>
      <c r="B1802" s="1" t="s">
        <v>4474</v>
      </c>
      <c r="C1802" s="1" t="n">
        <v>45</v>
      </c>
      <c r="E1802" s="1" t="s">
        <v>4943</v>
      </c>
      <c r="F1802" s="1" t="s">
        <v>4944</v>
      </c>
      <c r="G1802" s="1" t="s">
        <v>4650</v>
      </c>
      <c r="H1802" s="1" t="s">
        <v>4650</v>
      </c>
      <c r="J1802" s="1" t="s">
        <v>4945</v>
      </c>
      <c r="K1802" s="1" t="n">
        <f aca="false">IF(Search!$D$5="",0,IF(AND(OR(Search!$N$5="",ISNUMBER(SEARCH(Search!$N$5,J1802))),OR(Search!$N$6="",ISNUMBER(SEARCH(Search!$N$6,J1802))),OR(Search!$N$7="",ISNUMBER(SEARCH(Search!$N$7,J1802))),OR(Search!$N$8="",ISNUMBER(SEARCH(Search!$N$8,J1802)))),1,0))</f>
        <v>0</v>
      </c>
      <c r="L1802" s="1" t="n">
        <f aca="false">L1801+K1802</f>
        <v>0</v>
      </c>
    </row>
    <row r="1803" customFormat="false" ht="15" hidden="false" customHeight="true" outlineLevel="0" collapsed="false">
      <c r="A1803" s="1" t="s">
        <v>346</v>
      </c>
      <c r="B1803" s="1" t="s">
        <v>4474</v>
      </c>
      <c r="C1803" s="1" t="n">
        <v>46</v>
      </c>
      <c r="E1803" s="1" t="s">
        <v>4946</v>
      </c>
      <c r="F1803" s="1" t="s">
        <v>4947</v>
      </c>
      <c r="G1803" s="1" t="s">
        <v>4650</v>
      </c>
      <c r="H1803" s="1" t="s">
        <v>4650</v>
      </c>
      <c r="J1803" s="1" t="s">
        <v>4948</v>
      </c>
      <c r="K1803" s="1" t="n">
        <f aca="false">IF(Search!$D$5="",0,IF(AND(OR(Search!$N$5="",ISNUMBER(SEARCH(Search!$N$5,J1803))),OR(Search!$N$6="",ISNUMBER(SEARCH(Search!$N$6,J1803))),OR(Search!$N$7="",ISNUMBER(SEARCH(Search!$N$7,J1803))),OR(Search!$N$8="",ISNUMBER(SEARCH(Search!$N$8,J1803)))),1,0))</f>
        <v>0</v>
      </c>
      <c r="L1803" s="1" t="n">
        <f aca="false">L1802+K1803</f>
        <v>0</v>
      </c>
    </row>
    <row r="1804" customFormat="false" ht="15" hidden="false" customHeight="true" outlineLevel="0" collapsed="false">
      <c r="A1804" s="1" t="s">
        <v>346</v>
      </c>
      <c r="B1804" s="1" t="s">
        <v>4474</v>
      </c>
      <c r="C1804" s="1" t="n">
        <v>47</v>
      </c>
      <c r="E1804" s="1" t="s">
        <v>4949</v>
      </c>
      <c r="F1804" s="1" t="s">
        <v>4950</v>
      </c>
      <c r="G1804" s="1" t="s">
        <v>4650</v>
      </c>
      <c r="H1804" s="1" t="s">
        <v>4650</v>
      </c>
      <c r="J1804" s="1" t="s">
        <v>4951</v>
      </c>
      <c r="K1804" s="1" t="n">
        <f aca="false">IF(Search!$D$5="",0,IF(AND(OR(Search!$N$5="",ISNUMBER(SEARCH(Search!$N$5,J1804))),OR(Search!$N$6="",ISNUMBER(SEARCH(Search!$N$6,J1804))),OR(Search!$N$7="",ISNUMBER(SEARCH(Search!$N$7,J1804))),OR(Search!$N$8="",ISNUMBER(SEARCH(Search!$N$8,J1804)))),1,0))</f>
        <v>0</v>
      </c>
      <c r="L1804" s="1" t="n">
        <f aca="false">L1803+K1804</f>
        <v>0</v>
      </c>
    </row>
    <row r="1805" customFormat="false" ht="15" hidden="false" customHeight="true" outlineLevel="0" collapsed="false">
      <c r="A1805" s="1" t="s">
        <v>346</v>
      </c>
      <c r="B1805" s="1" t="s">
        <v>4474</v>
      </c>
      <c r="C1805" s="1" t="n">
        <v>48</v>
      </c>
      <c r="E1805" s="1" t="s">
        <v>4952</v>
      </c>
      <c r="F1805" s="1" t="s">
        <v>4953</v>
      </c>
      <c r="G1805" s="1" t="s">
        <v>4650</v>
      </c>
      <c r="H1805" s="1" t="s">
        <v>4650</v>
      </c>
      <c r="J1805" s="1" t="s">
        <v>4954</v>
      </c>
      <c r="K1805" s="1" t="n">
        <f aca="false">IF(Search!$D$5="",0,IF(AND(OR(Search!$N$5="",ISNUMBER(SEARCH(Search!$N$5,J1805))),OR(Search!$N$6="",ISNUMBER(SEARCH(Search!$N$6,J1805))),OR(Search!$N$7="",ISNUMBER(SEARCH(Search!$N$7,J1805))),OR(Search!$N$8="",ISNUMBER(SEARCH(Search!$N$8,J1805)))),1,0))</f>
        <v>0</v>
      </c>
      <c r="L1805" s="1" t="n">
        <f aca="false">L1804+K1805</f>
        <v>0</v>
      </c>
    </row>
    <row r="1806" customFormat="false" ht="15" hidden="false" customHeight="true" outlineLevel="0" collapsed="false">
      <c r="A1806" s="1" t="s">
        <v>346</v>
      </c>
      <c r="B1806" s="1" t="s">
        <v>4474</v>
      </c>
      <c r="C1806" s="1" t="n">
        <v>49</v>
      </c>
      <c r="E1806" s="1" t="s">
        <v>4955</v>
      </c>
      <c r="G1806" s="1" t="s">
        <v>4650</v>
      </c>
      <c r="H1806" s="1" t="s">
        <v>4650</v>
      </c>
      <c r="J1806" s="1" t="s">
        <v>4956</v>
      </c>
      <c r="K1806" s="1" t="n">
        <f aca="false">IF(Search!$D$5="",0,IF(AND(OR(Search!$N$5="",ISNUMBER(SEARCH(Search!$N$5,J1806))),OR(Search!$N$6="",ISNUMBER(SEARCH(Search!$N$6,J1806))),OR(Search!$N$7="",ISNUMBER(SEARCH(Search!$N$7,J1806))),OR(Search!$N$8="",ISNUMBER(SEARCH(Search!$N$8,J1806)))),1,0))</f>
        <v>0</v>
      </c>
      <c r="L1806" s="1" t="n">
        <f aca="false">L1805+K1806</f>
        <v>0</v>
      </c>
    </row>
    <row r="1807" customFormat="false" ht="15" hidden="false" customHeight="true" outlineLevel="0" collapsed="false">
      <c r="A1807" s="1" t="s">
        <v>346</v>
      </c>
      <c r="B1807" s="1" t="s">
        <v>4474</v>
      </c>
      <c r="C1807" s="1" t="n">
        <v>50</v>
      </c>
      <c r="E1807" s="1" t="s">
        <v>4957</v>
      </c>
      <c r="G1807" s="1" t="s">
        <v>4650</v>
      </c>
      <c r="H1807" s="1" t="s">
        <v>4650</v>
      </c>
      <c r="J1807" s="1" t="s">
        <v>4958</v>
      </c>
      <c r="K1807" s="1" t="n">
        <f aca="false">IF(Search!$D$5="",0,IF(AND(OR(Search!$N$5="",ISNUMBER(SEARCH(Search!$N$5,J1807))),OR(Search!$N$6="",ISNUMBER(SEARCH(Search!$N$6,J1807))),OR(Search!$N$7="",ISNUMBER(SEARCH(Search!$N$7,J1807))),OR(Search!$N$8="",ISNUMBER(SEARCH(Search!$N$8,J1807)))),1,0))</f>
        <v>0</v>
      </c>
      <c r="L1807" s="1" t="n">
        <f aca="false">L1806+K1807</f>
        <v>0</v>
      </c>
    </row>
    <row r="1808" customFormat="false" ht="15" hidden="false" customHeight="true" outlineLevel="0" collapsed="false">
      <c r="A1808" s="1" t="s">
        <v>346</v>
      </c>
      <c r="B1808" s="1" t="s">
        <v>4474</v>
      </c>
      <c r="C1808" s="1" t="n">
        <v>52</v>
      </c>
      <c r="E1808" s="1" t="s">
        <v>4959</v>
      </c>
      <c r="J1808" s="1" t="s">
        <v>4959</v>
      </c>
      <c r="K1808" s="1" t="n">
        <f aca="false">IF(Search!$D$5="",0,IF(AND(OR(Search!$N$5="",ISNUMBER(SEARCH(Search!$N$5,J1808))),OR(Search!$N$6="",ISNUMBER(SEARCH(Search!$N$6,J1808))),OR(Search!$N$7="",ISNUMBER(SEARCH(Search!$N$7,J1808))),OR(Search!$N$8="",ISNUMBER(SEARCH(Search!$N$8,J1808)))),1,0))</f>
        <v>0</v>
      </c>
      <c r="L1808" s="1" t="n">
        <f aca="false">L1807+K1808</f>
        <v>0</v>
      </c>
    </row>
    <row r="1809" customFormat="false" ht="15" hidden="false" customHeight="true" outlineLevel="0" collapsed="false">
      <c r="A1809" s="1" t="s">
        <v>346</v>
      </c>
      <c r="B1809" s="1" t="s">
        <v>4474</v>
      </c>
      <c r="C1809" s="1" t="n">
        <v>53</v>
      </c>
      <c r="E1809" s="1" t="s">
        <v>4960</v>
      </c>
      <c r="J1809" s="1" t="s">
        <v>4960</v>
      </c>
      <c r="K1809" s="1" t="n">
        <f aca="false">IF(Search!$D$5="",0,IF(AND(OR(Search!$N$5="",ISNUMBER(SEARCH(Search!$N$5,J1809))),OR(Search!$N$6="",ISNUMBER(SEARCH(Search!$N$6,J1809))),OR(Search!$N$7="",ISNUMBER(SEARCH(Search!$N$7,J1809))),OR(Search!$N$8="",ISNUMBER(SEARCH(Search!$N$8,J1809)))),1,0))</f>
        <v>0</v>
      </c>
      <c r="L1809" s="1" t="n">
        <f aca="false">L1808+K1809</f>
        <v>0</v>
      </c>
    </row>
    <row r="1810" customFormat="false" ht="15" hidden="false" customHeight="true" outlineLevel="0" collapsed="false">
      <c r="A1810" s="1" t="s">
        <v>346</v>
      </c>
      <c r="B1810" s="1" t="s">
        <v>4474</v>
      </c>
      <c r="C1810" s="1" t="n">
        <v>54</v>
      </c>
      <c r="E1810" s="1" t="s">
        <v>4855</v>
      </c>
      <c r="F1810" s="1" t="s">
        <v>4856</v>
      </c>
      <c r="G1810" s="1" t="s">
        <v>4857</v>
      </c>
      <c r="H1810" s="1" t="s">
        <v>4753</v>
      </c>
      <c r="J1810" s="1" t="s">
        <v>4858</v>
      </c>
      <c r="K1810" s="1" t="n">
        <f aca="false">IF(Search!$D$5="",0,IF(AND(OR(Search!$N$5="",ISNUMBER(SEARCH(Search!$N$5,J1810))),OR(Search!$N$6="",ISNUMBER(SEARCH(Search!$N$6,J1810))),OR(Search!$N$7="",ISNUMBER(SEARCH(Search!$N$7,J1810))),OR(Search!$N$8="",ISNUMBER(SEARCH(Search!$N$8,J1810)))),1,0))</f>
        <v>0</v>
      </c>
      <c r="L1810" s="1" t="n">
        <f aca="false">L1809+K1810</f>
        <v>0</v>
      </c>
    </row>
    <row r="1811" customFormat="false" ht="15" hidden="false" customHeight="true" outlineLevel="0" collapsed="false">
      <c r="A1811" s="1" t="s">
        <v>346</v>
      </c>
      <c r="B1811" s="1" t="s">
        <v>4474</v>
      </c>
      <c r="C1811" s="1" t="n">
        <v>55</v>
      </c>
      <c r="E1811" s="1" t="s">
        <v>4961</v>
      </c>
      <c r="G1811" s="1" t="s">
        <v>4962</v>
      </c>
      <c r="H1811" s="1" t="s">
        <v>524</v>
      </c>
      <c r="J1811" s="1" t="s">
        <v>4963</v>
      </c>
      <c r="K1811" s="1" t="n">
        <f aca="false">IF(Search!$D$5="",0,IF(AND(OR(Search!$N$5="",ISNUMBER(SEARCH(Search!$N$5,J1811))),OR(Search!$N$6="",ISNUMBER(SEARCH(Search!$N$6,J1811))),OR(Search!$N$7="",ISNUMBER(SEARCH(Search!$N$7,J1811))),OR(Search!$N$8="",ISNUMBER(SEARCH(Search!$N$8,J1811)))),1,0))</f>
        <v>0</v>
      </c>
      <c r="L1811" s="1" t="n">
        <f aca="false">L1810+K1811</f>
        <v>0</v>
      </c>
    </row>
    <row r="1812" customFormat="false" ht="15" hidden="false" customHeight="true" outlineLevel="0" collapsed="false">
      <c r="A1812" s="1" t="s">
        <v>346</v>
      </c>
      <c r="B1812" s="1" t="s">
        <v>4474</v>
      </c>
      <c r="C1812" s="1" t="n">
        <v>56</v>
      </c>
      <c r="E1812" s="1" t="s">
        <v>4964</v>
      </c>
      <c r="F1812" s="1" t="s">
        <v>4818</v>
      </c>
      <c r="G1812" s="1" t="s">
        <v>2704</v>
      </c>
      <c r="H1812" s="1" t="s">
        <v>4649</v>
      </c>
      <c r="J1812" s="1" t="s">
        <v>4965</v>
      </c>
      <c r="K1812" s="1" t="n">
        <f aca="false">IF(Search!$D$5="",0,IF(AND(OR(Search!$N$5="",ISNUMBER(SEARCH(Search!$N$5,J1812))),OR(Search!$N$6="",ISNUMBER(SEARCH(Search!$N$6,J1812))),OR(Search!$N$7="",ISNUMBER(SEARCH(Search!$N$7,J1812))),OR(Search!$N$8="",ISNUMBER(SEARCH(Search!$N$8,J1812)))),1,0))</f>
        <v>0</v>
      </c>
      <c r="L1812" s="1" t="n">
        <f aca="false">L1811+K1812</f>
        <v>0</v>
      </c>
    </row>
    <row r="1813" customFormat="false" ht="15" hidden="false" customHeight="true" outlineLevel="0" collapsed="false">
      <c r="A1813" s="1" t="s">
        <v>346</v>
      </c>
      <c r="B1813" s="1" t="s">
        <v>4474</v>
      </c>
      <c r="C1813" s="1" t="n">
        <v>57</v>
      </c>
      <c r="E1813" s="1" t="s">
        <v>4966</v>
      </c>
      <c r="G1813" s="1" t="s">
        <v>4967</v>
      </c>
      <c r="H1813" s="1" t="s">
        <v>524</v>
      </c>
      <c r="J1813" s="1" t="s">
        <v>4968</v>
      </c>
      <c r="K1813" s="1" t="n">
        <f aca="false">IF(Search!$D$5="",0,IF(AND(OR(Search!$N$5="",ISNUMBER(SEARCH(Search!$N$5,J1813))),OR(Search!$N$6="",ISNUMBER(SEARCH(Search!$N$6,J1813))),OR(Search!$N$7="",ISNUMBER(SEARCH(Search!$N$7,J1813))),OR(Search!$N$8="",ISNUMBER(SEARCH(Search!$N$8,J1813)))),1,0))</f>
        <v>0</v>
      </c>
      <c r="L1813" s="1" t="n">
        <f aca="false">L1812+K1813</f>
        <v>0</v>
      </c>
    </row>
    <row r="1814" customFormat="false" ht="15" hidden="false" customHeight="true" outlineLevel="0" collapsed="false">
      <c r="A1814" s="1" t="s">
        <v>346</v>
      </c>
      <c r="B1814" s="1" t="s">
        <v>4474</v>
      </c>
      <c r="C1814" s="1" t="n">
        <v>58</v>
      </c>
      <c r="E1814" s="1" t="s">
        <v>4969</v>
      </c>
      <c r="F1814" s="1" t="s">
        <v>4823</v>
      </c>
      <c r="G1814" s="1" t="s">
        <v>2806</v>
      </c>
      <c r="H1814" s="1" t="s">
        <v>4673</v>
      </c>
      <c r="J1814" s="1" t="s">
        <v>4970</v>
      </c>
      <c r="K1814" s="1" t="n">
        <f aca="false">IF(Search!$D$5="",0,IF(AND(OR(Search!$N$5="",ISNUMBER(SEARCH(Search!$N$5,J1814))),OR(Search!$N$6="",ISNUMBER(SEARCH(Search!$N$6,J1814))),OR(Search!$N$7="",ISNUMBER(SEARCH(Search!$N$7,J1814))),OR(Search!$N$8="",ISNUMBER(SEARCH(Search!$N$8,J1814)))),1,0))</f>
        <v>0</v>
      </c>
      <c r="L1814" s="1" t="n">
        <f aca="false">L1813+K1814</f>
        <v>0</v>
      </c>
    </row>
    <row r="1815" customFormat="false" ht="15" hidden="false" customHeight="true" outlineLevel="0" collapsed="false">
      <c r="A1815" s="1" t="s">
        <v>346</v>
      </c>
      <c r="B1815" s="1" t="s">
        <v>4474</v>
      </c>
      <c r="C1815" s="1" t="n">
        <v>59</v>
      </c>
      <c r="E1815" s="1" t="s">
        <v>4971</v>
      </c>
      <c r="F1815" s="1" t="s">
        <v>4827</v>
      </c>
      <c r="G1815" s="1" t="s">
        <v>2168</v>
      </c>
      <c r="H1815" s="1" t="s">
        <v>4673</v>
      </c>
      <c r="J1815" s="1" t="s">
        <v>4972</v>
      </c>
      <c r="K1815" s="1" t="n">
        <f aca="false">IF(Search!$D$5="",0,IF(AND(OR(Search!$N$5="",ISNUMBER(SEARCH(Search!$N$5,J1815))),OR(Search!$N$6="",ISNUMBER(SEARCH(Search!$N$6,J1815))),OR(Search!$N$7="",ISNUMBER(SEARCH(Search!$N$7,J1815))),OR(Search!$N$8="",ISNUMBER(SEARCH(Search!$N$8,J1815)))),1,0))</f>
        <v>0</v>
      </c>
      <c r="L1815" s="1" t="n">
        <f aca="false">L1814+K1815</f>
        <v>0</v>
      </c>
    </row>
    <row r="1816" customFormat="false" ht="15" hidden="false" customHeight="true" outlineLevel="0" collapsed="false">
      <c r="A1816" s="1" t="s">
        <v>346</v>
      </c>
      <c r="B1816" s="1" t="s">
        <v>4474</v>
      </c>
      <c r="C1816" s="1" t="n">
        <v>60</v>
      </c>
      <c r="E1816" s="1" t="s">
        <v>4973</v>
      </c>
      <c r="F1816" s="1" t="s">
        <v>4974</v>
      </c>
      <c r="G1816" s="1" t="s">
        <v>4650</v>
      </c>
      <c r="H1816" s="1" t="s">
        <v>4673</v>
      </c>
      <c r="J1816" s="1" t="s">
        <v>4975</v>
      </c>
      <c r="K1816" s="1" t="n">
        <f aca="false">IF(Search!$D$5="",0,IF(AND(OR(Search!$N$5="",ISNUMBER(SEARCH(Search!$N$5,J1816))),OR(Search!$N$6="",ISNUMBER(SEARCH(Search!$N$6,J1816))),OR(Search!$N$7="",ISNUMBER(SEARCH(Search!$N$7,J1816))),OR(Search!$N$8="",ISNUMBER(SEARCH(Search!$N$8,J1816)))),1,0))</f>
        <v>0</v>
      </c>
      <c r="L1816" s="1" t="n">
        <f aca="false">L1815+K1816</f>
        <v>0</v>
      </c>
    </row>
    <row r="1817" customFormat="false" ht="15" hidden="false" customHeight="true" outlineLevel="0" collapsed="false">
      <c r="A1817" s="1" t="s">
        <v>346</v>
      </c>
      <c r="B1817" s="1" t="s">
        <v>4474</v>
      </c>
      <c r="C1817" s="1" t="n">
        <v>61</v>
      </c>
      <c r="E1817" s="1" t="s">
        <v>4976</v>
      </c>
      <c r="F1817" s="1" t="s">
        <v>4977</v>
      </c>
      <c r="G1817" s="1" t="s">
        <v>4650</v>
      </c>
      <c r="H1817" s="1" t="s">
        <v>4673</v>
      </c>
      <c r="J1817" s="1" t="s">
        <v>4978</v>
      </c>
      <c r="K1817" s="1" t="n">
        <f aca="false">IF(Search!$D$5="",0,IF(AND(OR(Search!$N$5="",ISNUMBER(SEARCH(Search!$N$5,J1817))),OR(Search!$N$6="",ISNUMBER(SEARCH(Search!$N$6,J1817))),OR(Search!$N$7="",ISNUMBER(SEARCH(Search!$N$7,J1817))),OR(Search!$N$8="",ISNUMBER(SEARCH(Search!$N$8,J1817)))),1,0))</f>
        <v>0</v>
      </c>
      <c r="L1817" s="1" t="n">
        <f aca="false">L1816+K1817</f>
        <v>0</v>
      </c>
    </row>
    <row r="1818" customFormat="false" ht="15" hidden="false" customHeight="true" outlineLevel="0" collapsed="false">
      <c r="A1818" s="1" t="s">
        <v>346</v>
      </c>
      <c r="B1818" s="1" t="s">
        <v>4474</v>
      </c>
      <c r="C1818" s="1" t="n">
        <v>62</v>
      </c>
      <c r="E1818" s="1" t="s">
        <v>4979</v>
      </c>
      <c r="F1818" s="1" t="s">
        <v>4980</v>
      </c>
      <c r="G1818" s="1" t="s">
        <v>4650</v>
      </c>
      <c r="H1818" s="1" t="s">
        <v>4981</v>
      </c>
      <c r="J1818" s="1" t="s">
        <v>4982</v>
      </c>
      <c r="K1818" s="1" t="n">
        <f aca="false">IF(Search!$D$5="",0,IF(AND(OR(Search!$N$5="",ISNUMBER(SEARCH(Search!$N$5,J1818))),OR(Search!$N$6="",ISNUMBER(SEARCH(Search!$N$6,J1818))),OR(Search!$N$7="",ISNUMBER(SEARCH(Search!$N$7,J1818))),OR(Search!$N$8="",ISNUMBER(SEARCH(Search!$N$8,J1818)))),1,0))</f>
        <v>0</v>
      </c>
      <c r="L1818" s="1" t="n">
        <f aca="false">L1817+K1818</f>
        <v>0</v>
      </c>
    </row>
    <row r="1819" customFormat="false" ht="15" hidden="false" customHeight="true" outlineLevel="0" collapsed="false">
      <c r="A1819" s="1" t="s">
        <v>346</v>
      </c>
      <c r="B1819" s="1" t="s">
        <v>4474</v>
      </c>
      <c r="C1819" s="1" t="n">
        <v>63</v>
      </c>
      <c r="E1819" s="1" t="s">
        <v>4983</v>
      </c>
      <c r="F1819" s="1" t="s">
        <v>4984</v>
      </c>
      <c r="G1819" s="1" t="s">
        <v>4650</v>
      </c>
      <c r="H1819" s="1" t="s">
        <v>4981</v>
      </c>
      <c r="J1819" s="1" t="s">
        <v>4985</v>
      </c>
      <c r="K1819" s="1" t="n">
        <f aca="false">IF(Search!$D$5="",0,IF(AND(OR(Search!$N$5="",ISNUMBER(SEARCH(Search!$N$5,J1819))),OR(Search!$N$6="",ISNUMBER(SEARCH(Search!$N$6,J1819))),OR(Search!$N$7="",ISNUMBER(SEARCH(Search!$N$7,J1819))),OR(Search!$N$8="",ISNUMBER(SEARCH(Search!$N$8,J1819)))),1,0))</f>
        <v>0</v>
      </c>
      <c r="L1819" s="1" t="n">
        <f aca="false">L1818+K1819</f>
        <v>0</v>
      </c>
    </row>
    <row r="1820" customFormat="false" ht="15" hidden="false" customHeight="true" outlineLevel="0" collapsed="false">
      <c r="A1820" s="1" t="s">
        <v>346</v>
      </c>
      <c r="B1820" s="1" t="s">
        <v>4474</v>
      </c>
      <c r="C1820" s="1" t="n">
        <v>64</v>
      </c>
      <c r="E1820" s="1" t="s">
        <v>4986</v>
      </c>
      <c r="F1820" s="1" t="s">
        <v>4987</v>
      </c>
      <c r="G1820" s="1" t="s">
        <v>4650</v>
      </c>
      <c r="H1820" s="1" t="s">
        <v>524</v>
      </c>
      <c r="J1820" s="1" t="s">
        <v>4988</v>
      </c>
      <c r="K1820" s="1" t="n">
        <f aca="false">IF(Search!$D$5="",0,IF(AND(OR(Search!$N$5="",ISNUMBER(SEARCH(Search!$N$5,J1820))),OR(Search!$N$6="",ISNUMBER(SEARCH(Search!$N$6,J1820))),OR(Search!$N$7="",ISNUMBER(SEARCH(Search!$N$7,J1820))),OR(Search!$N$8="",ISNUMBER(SEARCH(Search!$N$8,J1820)))),1,0))</f>
        <v>0</v>
      </c>
      <c r="L1820" s="1" t="n">
        <f aca="false">L1819+K1820</f>
        <v>0</v>
      </c>
    </row>
    <row r="1821" customFormat="false" ht="15" hidden="false" customHeight="true" outlineLevel="0" collapsed="false">
      <c r="A1821" s="1" t="s">
        <v>346</v>
      </c>
      <c r="B1821" s="1" t="s">
        <v>4474</v>
      </c>
      <c r="C1821" s="1" t="n">
        <v>66</v>
      </c>
      <c r="E1821" s="1" t="s">
        <v>4989</v>
      </c>
      <c r="G1821" s="1" t="s">
        <v>4650</v>
      </c>
      <c r="J1821" s="1" t="s">
        <v>4990</v>
      </c>
      <c r="K1821" s="1" t="n">
        <f aca="false">IF(Search!$D$5="",0,IF(AND(OR(Search!$N$5="",ISNUMBER(SEARCH(Search!$N$5,J1821))),OR(Search!$N$6="",ISNUMBER(SEARCH(Search!$N$6,J1821))),OR(Search!$N$7="",ISNUMBER(SEARCH(Search!$N$7,J1821))),OR(Search!$N$8="",ISNUMBER(SEARCH(Search!$N$8,J1821)))),1,0))</f>
        <v>0</v>
      </c>
      <c r="L1821" s="1" t="n">
        <f aca="false">L1820+K1821</f>
        <v>0</v>
      </c>
    </row>
    <row r="1822" customFormat="false" ht="15" hidden="false" customHeight="true" outlineLevel="0" collapsed="false">
      <c r="A1822" s="1" t="s">
        <v>346</v>
      </c>
      <c r="B1822" s="1" t="s">
        <v>4474</v>
      </c>
      <c r="C1822" s="1" t="n">
        <v>68</v>
      </c>
      <c r="E1822" s="1" t="s">
        <v>4991</v>
      </c>
      <c r="J1822" s="1" t="s">
        <v>4991</v>
      </c>
      <c r="K1822" s="1" t="n">
        <f aca="false">IF(Search!$D$5="",0,IF(AND(OR(Search!$N$5="",ISNUMBER(SEARCH(Search!$N$5,J1822))),OR(Search!$N$6="",ISNUMBER(SEARCH(Search!$N$6,J1822))),OR(Search!$N$7="",ISNUMBER(SEARCH(Search!$N$7,J1822))),OR(Search!$N$8="",ISNUMBER(SEARCH(Search!$N$8,J1822)))),1,0))</f>
        <v>0</v>
      </c>
      <c r="L1822" s="1" t="n">
        <f aca="false">L1821+K1822</f>
        <v>0</v>
      </c>
    </row>
    <row r="1823" customFormat="false" ht="15" hidden="false" customHeight="true" outlineLevel="0" collapsed="false">
      <c r="A1823" s="1" t="s">
        <v>346</v>
      </c>
      <c r="B1823" s="1" t="s">
        <v>4474</v>
      </c>
      <c r="C1823" s="1" t="n">
        <v>69</v>
      </c>
      <c r="E1823" s="1" t="s">
        <v>4992</v>
      </c>
      <c r="J1823" s="1" t="s">
        <v>4992</v>
      </c>
      <c r="K1823" s="1" t="n">
        <f aca="false">IF(Search!$D$5="",0,IF(AND(OR(Search!$N$5="",ISNUMBER(SEARCH(Search!$N$5,J1823))),OR(Search!$N$6="",ISNUMBER(SEARCH(Search!$N$6,J1823))),OR(Search!$N$7="",ISNUMBER(SEARCH(Search!$N$7,J1823))),OR(Search!$N$8="",ISNUMBER(SEARCH(Search!$N$8,J1823)))),1,0))</f>
        <v>0</v>
      </c>
      <c r="L1823" s="1" t="n">
        <f aca="false">L1822+K1823</f>
        <v>0</v>
      </c>
    </row>
    <row r="1824" customFormat="false" ht="15" hidden="false" customHeight="true" outlineLevel="0" collapsed="false">
      <c r="A1824" s="1" t="s">
        <v>325</v>
      </c>
      <c r="B1824" s="1" t="s">
        <v>4993</v>
      </c>
      <c r="C1824" s="1" t="n">
        <v>2</v>
      </c>
      <c r="E1824" s="1" t="s">
        <v>4994</v>
      </c>
      <c r="J1824" s="1" t="s">
        <v>4994</v>
      </c>
      <c r="K1824" s="1" t="n">
        <f aca="false">IF(Search!$D$5="",0,IF(AND(OR(Search!$N$5="",ISNUMBER(SEARCH(Search!$N$5,J1824))),OR(Search!$N$6="",ISNUMBER(SEARCH(Search!$N$6,J1824))),OR(Search!$N$7="",ISNUMBER(SEARCH(Search!$N$7,J1824))),OR(Search!$N$8="",ISNUMBER(SEARCH(Search!$N$8,J1824)))),1,0))</f>
        <v>0</v>
      </c>
      <c r="L1824" s="1" t="n">
        <f aca="false">L1823+K1824</f>
        <v>0</v>
      </c>
    </row>
    <row r="1825" customFormat="false" ht="15" hidden="false" customHeight="true" outlineLevel="0" collapsed="false">
      <c r="A1825" s="1" t="s">
        <v>325</v>
      </c>
      <c r="B1825" s="1" t="s">
        <v>4993</v>
      </c>
      <c r="C1825" s="1" t="n">
        <v>3</v>
      </c>
      <c r="E1825" s="1" t="s">
        <v>4995</v>
      </c>
      <c r="J1825" s="1" t="s">
        <v>4995</v>
      </c>
      <c r="K1825" s="1" t="n">
        <f aca="false">IF(Search!$D$5="",0,IF(AND(OR(Search!$N$5="",ISNUMBER(SEARCH(Search!$N$5,J1825))),OR(Search!$N$6="",ISNUMBER(SEARCH(Search!$N$6,J1825))),OR(Search!$N$7="",ISNUMBER(SEARCH(Search!$N$7,J1825))),OR(Search!$N$8="",ISNUMBER(SEARCH(Search!$N$8,J1825)))),1,0))</f>
        <v>0</v>
      </c>
      <c r="L1825" s="1" t="n">
        <f aca="false">L1824+K1825</f>
        <v>0</v>
      </c>
    </row>
    <row r="1826" customFormat="false" ht="15" hidden="false" customHeight="true" outlineLevel="0" collapsed="false">
      <c r="A1826" s="1" t="s">
        <v>325</v>
      </c>
      <c r="B1826" s="1" t="s">
        <v>4993</v>
      </c>
      <c r="C1826" s="1" t="n">
        <v>4</v>
      </c>
      <c r="E1826" s="1" t="s">
        <v>4996</v>
      </c>
      <c r="J1826" s="1" t="s">
        <v>4996</v>
      </c>
      <c r="K1826" s="1" t="n">
        <f aca="false">IF(Search!$D$5="",0,IF(AND(OR(Search!$N$5="",ISNUMBER(SEARCH(Search!$N$5,J1826))),OR(Search!$N$6="",ISNUMBER(SEARCH(Search!$N$6,J1826))),OR(Search!$N$7="",ISNUMBER(SEARCH(Search!$N$7,J1826))),OR(Search!$N$8="",ISNUMBER(SEARCH(Search!$N$8,J1826)))),1,0))</f>
        <v>0</v>
      </c>
      <c r="L1826" s="1" t="n">
        <f aca="false">L1825+K1826</f>
        <v>0</v>
      </c>
    </row>
    <row r="1827" customFormat="false" ht="15" hidden="false" customHeight="true" outlineLevel="0" collapsed="false">
      <c r="A1827" s="1" t="s">
        <v>325</v>
      </c>
      <c r="B1827" s="1" t="s">
        <v>4993</v>
      </c>
      <c r="C1827" s="1" t="n">
        <v>6</v>
      </c>
      <c r="E1827" s="1" t="s">
        <v>4997</v>
      </c>
      <c r="J1827" s="1" t="s">
        <v>4997</v>
      </c>
      <c r="K1827" s="1" t="n">
        <f aca="false">IF(Search!$D$5="",0,IF(AND(OR(Search!$N$5="",ISNUMBER(SEARCH(Search!$N$5,J1827))),OR(Search!$N$6="",ISNUMBER(SEARCH(Search!$N$6,J1827))),OR(Search!$N$7="",ISNUMBER(SEARCH(Search!$N$7,J1827))),OR(Search!$N$8="",ISNUMBER(SEARCH(Search!$N$8,J1827)))),1,0))</f>
        <v>0</v>
      </c>
      <c r="L1827" s="1" t="n">
        <f aca="false">L1826+K1827</f>
        <v>0</v>
      </c>
    </row>
    <row r="1828" customFormat="false" ht="15" hidden="false" customHeight="true" outlineLevel="0" collapsed="false">
      <c r="A1828" s="1" t="s">
        <v>325</v>
      </c>
      <c r="B1828" s="1" t="s">
        <v>4993</v>
      </c>
      <c r="C1828" s="1" t="n">
        <v>7</v>
      </c>
      <c r="E1828" s="1" t="s">
        <v>4523</v>
      </c>
      <c r="F1828" s="1" t="s">
        <v>4998</v>
      </c>
      <c r="G1828" s="1" t="s">
        <v>4999</v>
      </c>
      <c r="H1828" s="1" t="s">
        <v>5000</v>
      </c>
      <c r="J1828" s="1" t="s">
        <v>5001</v>
      </c>
      <c r="K1828" s="1" t="n">
        <f aca="false">IF(Search!$D$5="",0,IF(AND(OR(Search!$N$5="",ISNUMBER(SEARCH(Search!$N$5,J1828))),OR(Search!$N$6="",ISNUMBER(SEARCH(Search!$N$6,J1828))),OR(Search!$N$7="",ISNUMBER(SEARCH(Search!$N$7,J1828))),OR(Search!$N$8="",ISNUMBER(SEARCH(Search!$N$8,J1828)))),1,0))</f>
        <v>0</v>
      </c>
      <c r="L1828" s="1" t="n">
        <f aca="false">L1827+K1828</f>
        <v>0</v>
      </c>
    </row>
    <row r="1829" customFormat="false" ht="15" hidden="false" customHeight="true" outlineLevel="0" collapsed="false">
      <c r="A1829" s="1" t="s">
        <v>325</v>
      </c>
      <c r="B1829" s="1" t="s">
        <v>4993</v>
      </c>
      <c r="C1829" s="1" t="n">
        <v>8</v>
      </c>
      <c r="E1829" s="1" t="s">
        <v>5002</v>
      </c>
      <c r="F1829" s="1" t="s">
        <v>5003</v>
      </c>
      <c r="G1829" s="1" t="s">
        <v>5004</v>
      </c>
      <c r="H1829" s="1" t="s">
        <v>5005</v>
      </c>
      <c r="J1829" s="1" t="s">
        <v>5006</v>
      </c>
      <c r="K1829" s="1" t="n">
        <f aca="false">IF(Search!$D$5="",0,IF(AND(OR(Search!$N$5="",ISNUMBER(SEARCH(Search!$N$5,J1829))),OR(Search!$N$6="",ISNUMBER(SEARCH(Search!$N$6,J1829))),OR(Search!$N$7="",ISNUMBER(SEARCH(Search!$N$7,J1829))),OR(Search!$N$8="",ISNUMBER(SEARCH(Search!$N$8,J1829)))),1,0))</f>
        <v>0</v>
      </c>
      <c r="L1829" s="1" t="n">
        <f aca="false">L1828+K1829</f>
        <v>0</v>
      </c>
    </row>
    <row r="1830" customFormat="false" ht="15" hidden="false" customHeight="true" outlineLevel="0" collapsed="false">
      <c r="A1830" s="1" t="s">
        <v>325</v>
      </c>
      <c r="B1830" s="1" t="s">
        <v>4993</v>
      </c>
      <c r="C1830" s="1" t="n">
        <v>9</v>
      </c>
      <c r="E1830" s="1" t="s">
        <v>5007</v>
      </c>
      <c r="F1830" s="1" t="s">
        <v>5008</v>
      </c>
      <c r="G1830" s="1" t="s">
        <v>5009</v>
      </c>
      <c r="H1830" s="1" t="s">
        <v>5010</v>
      </c>
      <c r="J1830" s="1" t="s">
        <v>5011</v>
      </c>
      <c r="K1830" s="1" t="n">
        <f aca="false">IF(Search!$D$5="",0,IF(AND(OR(Search!$N$5="",ISNUMBER(SEARCH(Search!$N$5,J1830))),OR(Search!$N$6="",ISNUMBER(SEARCH(Search!$N$6,J1830))),OR(Search!$N$7="",ISNUMBER(SEARCH(Search!$N$7,J1830))),OR(Search!$N$8="",ISNUMBER(SEARCH(Search!$N$8,J1830)))),1,0))</f>
        <v>0</v>
      </c>
      <c r="L1830" s="1" t="n">
        <f aca="false">L1829+K1830</f>
        <v>0</v>
      </c>
    </row>
    <row r="1831" customFormat="false" ht="15" hidden="false" customHeight="true" outlineLevel="0" collapsed="false">
      <c r="A1831" s="1" t="s">
        <v>325</v>
      </c>
      <c r="B1831" s="1" t="s">
        <v>4993</v>
      </c>
      <c r="C1831" s="1" t="n">
        <v>10</v>
      </c>
      <c r="E1831" s="1" t="s">
        <v>5012</v>
      </c>
      <c r="F1831" s="1" t="s">
        <v>5013</v>
      </c>
      <c r="G1831" s="1" t="s">
        <v>5009</v>
      </c>
      <c r="H1831" s="1" t="s">
        <v>5014</v>
      </c>
      <c r="J1831" s="1" t="s">
        <v>5015</v>
      </c>
      <c r="K1831" s="1" t="n">
        <f aca="false">IF(Search!$D$5="",0,IF(AND(OR(Search!$N$5="",ISNUMBER(SEARCH(Search!$N$5,J1831))),OR(Search!$N$6="",ISNUMBER(SEARCH(Search!$N$6,J1831))),OR(Search!$N$7="",ISNUMBER(SEARCH(Search!$N$7,J1831))),OR(Search!$N$8="",ISNUMBER(SEARCH(Search!$N$8,J1831)))),1,0))</f>
        <v>0</v>
      </c>
      <c r="L1831" s="1" t="n">
        <f aca="false">L1830+K1831</f>
        <v>0</v>
      </c>
    </row>
    <row r="1832" customFormat="false" ht="15" hidden="false" customHeight="true" outlineLevel="0" collapsed="false">
      <c r="A1832" s="1" t="s">
        <v>325</v>
      </c>
      <c r="B1832" s="1" t="s">
        <v>4993</v>
      </c>
      <c r="C1832" s="1" t="n">
        <v>12</v>
      </c>
      <c r="E1832" s="1" t="s">
        <v>5016</v>
      </c>
      <c r="J1832" s="1" t="s">
        <v>5016</v>
      </c>
      <c r="K1832" s="1" t="n">
        <f aca="false">IF(Search!$D$5="",0,IF(AND(OR(Search!$N$5="",ISNUMBER(SEARCH(Search!$N$5,J1832))),OR(Search!$N$6="",ISNUMBER(SEARCH(Search!$N$6,J1832))),OR(Search!$N$7="",ISNUMBER(SEARCH(Search!$N$7,J1832))),OR(Search!$N$8="",ISNUMBER(SEARCH(Search!$N$8,J1832)))),1,0))</f>
        <v>0</v>
      </c>
      <c r="L1832" s="1" t="n">
        <f aca="false">L1831+K1832</f>
        <v>0</v>
      </c>
    </row>
    <row r="1833" customFormat="false" ht="68.25" hidden="false" customHeight="true" outlineLevel="0" collapsed="false">
      <c r="A1833" s="1" t="s">
        <v>325</v>
      </c>
      <c r="B1833" s="1" t="s">
        <v>4993</v>
      </c>
      <c r="C1833" s="1" t="n">
        <v>13</v>
      </c>
      <c r="E1833" s="1" t="s">
        <v>5017</v>
      </c>
      <c r="F1833" s="46" t="s">
        <v>5018</v>
      </c>
      <c r="G1833" s="46" t="s">
        <v>5019</v>
      </c>
      <c r="H1833" s="46" t="s">
        <v>5020</v>
      </c>
      <c r="I1833" s="46" t="s">
        <v>5021</v>
      </c>
      <c r="J1833" s="46" t="s">
        <v>5022</v>
      </c>
      <c r="K1833" s="1" t="n">
        <f aca="false">IF(Search!$D$5="",0,IF(AND(OR(Search!$N$5="",ISNUMBER(SEARCH(Search!$N$5,J1833))),OR(Search!$N$6="",ISNUMBER(SEARCH(Search!$N$6,J1833))),OR(Search!$N$7="",ISNUMBER(SEARCH(Search!$N$7,J1833))),OR(Search!$N$8="",ISNUMBER(SEARCH(Search!$N$8,J1833)))),1,0))</f>
        <v>0</v>
      </c>
      <c r="L1833" s="1" t="n">
        <f aca="false">L1832+K1833</f>
        <v>0</v>
      </c>
    </row>
    <row r="1834" customFormat="false" ht="15" hidden="false" customHeight="true" outlineLevel="0" collapsed="false">
      <c r="A1834" s="1" t="s">
        <v>325</v>
      </c>
      <c r="B1834" s="1" t="s">
        <v>4993</v>
      </c>
      <c r="C1834" s="1" t="n">
        <v>14</v>
      </c>
      <c r="E1834" s="1" t="s">
        <v>5023</v>
      </c>
      <c r="F1834" s="1" t="s">
        <v>1838</v>
      </c>
      <c r="G1834" s="1" t="s">
        <v>1959</v>
      </c>
      <c r="H1834" s="1" t="s">
        <v>524</v>
      </c>
      <c r="I1834" s="1" t="s">
        <v>492</v>
      </c>
      <c r="J1834" s="1" t="s">
        <v>5024</v>
      </c>
      <c r="K1834" s="1" t="n">
        <f aca="false">IF(Search!$D$5="",0,IF(AND(OR(Search!$N$5="",ISNUMBER(SEARCH(Search!$N$5,J1834))),OR(Search!$N$6="",ISNUMBER(SEARCH(Search!$N$6,J1834))),OR(Search!$N$7="",ISNUMBER(SEARCH(Search!$N$7,J1834))),OR(Search!$N$8="",ISNUMBER(SEARCH(Search!$N$8,J1834)))),1,0))</f>
        <v>0</v>
      </c>
      <c r="L1834" s="1" t="n">
        <f aca="false">L1833+K1834</f>
        <v>0</v>
      </c>
    </row>
    <row r="1835" customFormat="false" ht="15" hidden="false" customHeight="true" outlineLevel="0" collapsed="false">
      <c r="A1835" s="1" t="s">
        <v>325</v>
      </c>
      <c r="B1835" s="1" t="s">
        <v>4993</v>
      </c>
      <c r="C1835" s="1" t="n">
        <v>15</v>
      </c>
      <c r="E1835" s="1" t="s">
        <v>5025</v>
      </c>
      <c r="F1835" s="1" t="s">
        <v>1904</v>
      </c>
      <c r="G1835" s="1" t="s">
        <v>492</v>
      </c>
      <c r="H1835" s="1" t="s">
        <v>1959</v>
      </c>
      <c r="I1835" s="1" t="s">
        <v>3796</v>
      </c>
      <c r="J1835" s="1" t="s">
        <v>5026</v>
      </c>
      <c r="K1835" s="1" t="n">
        <f aca="false">IF(Search!$D$5="",0,IF(AND(OR(Search!$N$5="",ISNUMBER(SEARCH(Search!$N$5,J1835))),OR(Search!$N$6="",ISNUMBER(SEARCH(Search!$N$6,J1835))),OR(Search!$N$7="",ISNUMBER(SEARCH(Search!$N$7,J1835))),OR(Search!$N$8="",ISNUMBER(SEARCH(Search!$N$8,J1835)))),1,0))</f>
        <v>0</v>
      </c>
      <c r="L1835" s="1" t="n">
        <f aca="false">L1834+K1835</f>
        <v>0</v>
      </c>
    </row>
    <row r="1836" customFormat="false" ht="15" hidden="false" customHeight="true" outlineLevel="0" collapsed="false">
      <c r="A1836" s="1" t="s">
        <v>325</v>
      </c>
      <c r="B1836" s="1" t="s">
        <v>4993</v>
      </c>
      <c r="C1836" s="1" t="n">
        <v>16</v>
      </c>
      <c r="E1836" s="1" t="s">
        <v>5027</v>
      </c>
      <c r="F1836" s="1" t="s">
        <v>1975</v>
      </c>
      <c r="G1836" s="1" t="s">
        <v>2699</v>
      </c>
      <c r="H1836" s="1" t="s">
        <v>492</v>
      </c>
      <c r="I1836" s="1" t="s">
        <v>4255</v>
      </c>
      <c r="J1836" s="1" t="s">
        <v>5028</v>
      </c>
      <c r="K1836" s="1" t="n">
        <f aca="false">IF(Search!$D$5="",0,IF(AND(OR(Search!$N$5="",ISNUMBER(SEARCH(Search!$N$5,J1836))),OR(Search!$N$6="",ISNUMBER(SEARCH(Search!$N$6,J1836))),OR(Search!$N$7="",ISNUMBER(SEARCH(Search!$N$7,J1836))),OR(Search!$N$8="",ISNUMBER(SEARCH(Search!$N$8,J1836)))),1,0))</f>
        <v>0</v>
      </c>
      <c r="L1836" s="1" t="n">
        <f aca="false">L1835+K1836</f>
        <v>0</v>
      </c>
    </row>
    <row r="1837" customFormat="false" ht="15" hidden="false" customHeight="true" outlineLevel="0" collapsed="false">
      <c r="A1837" s="1" t="s">
        <v>325</v>
      </c>
      <c r="B1837" s="1" t="s">
        <v>4993</v>
      </c>
      <c r="C1837" s="1" t="n">
        <v>17</v>
      </c>
      <c r="E1837" s="1" t="s">
        <v>5029</v>
      </c>
      <c r="F1837" s="1" t="s">
        <v>627</v>
      </c>
      <c r="G1837" s="1" t="s">
        <v>2704</v>
      </c>
      <c r="H1837" s="1" t="s">
        <v>2699</v>
      </c>
      <c r="I1837" s="1" t="s">
        <v>3706</v>
      </c>
      <c r="J1837" s="1" t="s">
        <v>5030</v>
      </c>
      <c r="K1837" s="1" t="n">
        <f aca="false">IF(Search!$D$5="",0,IF(AND(OR(Search!$N$5="",ISNUMBER(SEARCH(Search!$N$5,J1837))),OR(Search!$N$6="",ISNUMBER(SEARCH(Search!$N$6,J1837))),OR(Search!$N$7="",ISNUMBER(SEARCH(Search!$N$7,J1837))),OR(Search!$N$8="",ISNUMBER(SEARCH(Search!$N$8,J1837)))),1,0))</f>
        <v>0</v>
      </c>
      <c r="L1837" s="1" t="n">
        <f aca="false">L1836+K1837</f>
        <v>0</v>
      </c>
    </row>
    <row r="1838" customFormat="false" ht="15" hidden="false" customHeight="true" outlineLevel="0" collapsed="false">
      <c r="A1838" s="1" t="s">
        <v>325</v>
      </c>
      <c r="B1838" s="1" t="s">
        <v>4993</v>
      </c>
      <c r="C1838" s="1" t="n">
        <v>18</v>
      </c>
      <c r="E1838" s="1" t="s">
        <v>5031</v>
      </c>
      <c r="F1838" s="1" t="s">
        <v>2081</v>
      </c>
      <c r="G1838" s="1" t="s">
        <v>2710</v>
      </c>
      <c r="H1838" s="1" t="s">
        <v>2704</v>
      </c>
      <c r="I1838" s="1" t="s">
        <v>2181</v>
      </c>
      <c r="J1838" s="1" t="s">
        <v>5032</v>
      </c>
      <c r="K1838" s="1" t="n">
        <f aca="false">IF(Search!$D$5="",0,IF(AND(OR(Search!$N$5="",ISNUMBER(SEARCH(Search!$N$5,J1838))),OR(Search!$N$6="",ISNUMBER(SEARCH(Search!$N$6,J1838))),OR(Search!$N$7="",ISNUMBER(SEARCH(Search!$N$7,J1838))),OR(Search!$N$8="",ISNUMBER(SEARCH(Search!$N$8,J1838)))),1,0))</f>
        <v>0</v>
      </c>
      <c r="L1838" s="1" t="n">
        <f aca="false">L1837+K1838</f>
        <v>0</v>
      </c>
    </row>
    <row r="1839" customFormat="false" ht="15" hidden="false" customHeight="true" outlineLevel="0" collapsed="false">
      <c r="A1839" s="1" t="s">
        <v>325</v>
      </c>
      <c r="B1839" s="1" t="s">
        <v>4993</v>
      </c>
      <c r="C1839" s="1" t="n">
        <v>19</v>
      </c>
      <c r="E1839" s="1" t="s">
        <v>5033</v>
      </c>
      <c r="F1839" s="1" t="s">
        <v>587</v>
      </c>
      <c r="G1839" s="1" t="s">
        <v>3831</v>
      </c>
      <c r="H1839" s="1" t="s">
        <v>2710</v>
      </c>
      <c r="I1839" s="1" t="s">
        <v>3844</v>
      </c>
      <c r="J1839" s="1" t="s">
        <v>5034</v>
      </c>
      <c r="K1839" s="1" t="n">
        <f aca="false">IF(Search!$D$5="",0,IF(AND(OR(Search!$N$5="",ISNUMBER(SEARCH(Search!$N$5,J1839))),OR(Search!$N$6="",ISNUMBER(SEARCH(Search!$N$6,J1839))),OR(Search!$N$7="",ISNUMBER(SEARCH(Search!$N$7,J1839))),OR(Search!$N$8="",ISNUMBER(SEARCH(Search!$N$8,J1839)))),1,0))</f>
        <v>0</v>
      </c>
      <c r="L1839" s="1" t="n">
        <f aca="false">L1838+K1839</f>
        <v>0</v>
      </c>
    </row>
    <row r="1840" customFormat="false" ht="15" hidden="false" customHeight="true" outlineLevel="0" collapsed="false">
      <c r="A1840" s="1" t="s">
        <v>325</v>
      </c>
      <c r="B1840" s="1" t="s">
        <v>4993</v>
      </c>
      <c r="C1840" s="1" t="n">
        <v>21</v>
      </c>
      <c r="E1840" s="1" t="s">
        <v>5035</v>
      </c>
      <c r="J1840" s="1" t="s">
        <v>5035</v>
      </c>
      <c r="K1840" s="1" t="n">
        <f aca="false">IF(Search!$D$5="",0,IF(AND(OR(Search!$N$5="",ISNUMBER(SEARCH(Search!$N$5,J1840))),OR(Search!$N$6="",ISNUMBER(SEARCH(Search!$N$6,J1840))),OR(Search!$N$7="",ISNUMBER(SEARCH(Search!$N$7,J1840))),OR(Search!$N$8="",ISNUMBER(SEARCH(Search!$N$8,J1840)))),1,0))</f>
        <v>0</v>
      </c>
      <c r="L1840" s="1" t="n">
        <f aca="false">L1839+K1840</f>
        <v>0</v>
      </c>
    </row>
    <row r="1841" customFormat="false" ht="68.25" hidden="false" customHeight="true" outlineLevel="0" collapsed="false">
      <c r="A1841" s="1" t="s">
        <v>325</v>
      </c>
      <c r="B1841" s="1" t="s">
        <v>4993</v>
      </c>
      <c r="C1841" s="1" t="n">
        <v>22</v>
      </c>
      <c r="E1841" s="1" t="s">
        <v>5017</v>
      </c>
      <c r="F1841" s="46" t="s">
        <v>5036</v>
      </c>
      <c r="G1841" s="46" t="s">
        <v>5037</v>
      </c>
      <c r="H1841" s="46" t="s">
        <v>5038</v>
      </c>
      <c r="I1841" s="46" t="s">
        <v>5039</v>
      </c>
      <c r="J1841" s="46" t="s">
        <v>5040</v>
      </c>
      <c r="K1841" s="1" t="n">
        <f aca="false">IF(Search!$D$5="",0,IF(AND(OR(Search!$N$5="",ISNUMBER(SEARCH(Search!$N$5,J1841))),OR(Search!$N$6="",ISNUMBER(SEARCH(Search!$N$6,J1841))),OR(Search!$N$7="",ISNUMBER(SEARCH(Search!$N$7,J1841))),OR(Search!$N$8="",ISNUMBER(SEARCH(Search!$N$8,J1841)))),1,0))</f>
        <v>0</v>
      </c>
      <c r="L1841" s="1" t="n">
        <f aca="false">L1840+K1841</f>
        <v>0</v>
      </c>
    </row>
    <row r="1842" customFormat="false" ht="15" hidden="false" customHeight="true" outlineLevel="0" collapsed="false">
      <c r="A1842" s="1" t="s">
        <v>325</v>
      </c>
      <c r="B1842" s="1" t="s">
        <v>4993</v>
      </c>
      <c r="C1842" s="1" t="n">
        <v>23</v>
      </c>
      <c r="E1842" s="1" t="s">
        <v>5023</v>
      </c>
      <c r="F1842" s="1" t="s">
        <v>1959</v>
      </c>
      <c r="G1842" s="1" t="s">
        <v>1919</v>
      </c>
      <c r="H1842" s="1" t="s">
        <v>2925</v>
      </c>
      <c r="I1842" s="1" t="s">
        <v>1919</v>
      </c>
      <c r="J1842" s="1" t="s">
        <v>5041</v>
      </c>
      <c r="K1842" s="1" t="n">
        <f aca="false">IF(Search!$D$5="",0,IF(AND(OR(Search!$N$5="",ISNUMBER(SEARCH(Search!$N$5,J1842))),OR(Search!$N$6="",ISNUMBER(SEARCH(Search!$N$6,J1842))),OR(Search!$N$7="",ISNUMBER(SEARCH(Search!$N$7,J1842))),OR(Search!$N$8="",ISNUMBER(SEARCH(Search!$N$8,J1842)))),1,0))</f>
        <v>0</v>
      </c>
      <c r="L1842" s="1" t="n">
        <f aca="false">L1841+K1842</f>
        <v>0</v>
      </c>
    </row>
    <row r="1843" customFormat="false" ht="15" hidden="false" customHeight="true" outlineLevel="0" collapsed="false">
      <c r="A1843" s="1" t="s">
        <v>325</v>
      </c>
      <c r="B1843" s="1" t="s">
        <v>4993</v>
      </c>
      <c r="C1843" s="1" t="n">
        <v>24</v>
      </c>
      <c r="E1843" s="1" t="s">
        <v>5025</v>
      </c>
      <c r="F1843" s="1" t="s">
        <v>1959</v>
      </c>
      <c r="G1843" s="1" t="s">
        <v>1654</v>
      </c>
      <c r="H1843" s="1" t="s">
        <v>1654</v>
      </c>
      <c r="I1843" s="1" t="s">
        <v>1919</v>
      </c>
      <c r="J1843" s="1" t="s">
        <v>5042</v>
      </c>
      <c r="K1843" s="1" t="n">
        <f aca="false">IF(Search!$D$5="",0,IF(AND(OR(Search!$N$5="",ISNUMBER(SEARCH(Search!$N$5,J1843))),OR(Search!$N$6="",ISNUMBER(SEARCH(Search!$N$6,J1843))),OR(Search!$N$7="",ISNUMBER(SEARCH(Search!$N$7,J1843))),OR(Search!$N$8="",ISNUMBER(SEARCH(Search!$N$8,J1843)))),1,0))</f>
        <v>0</v>
      </c>
      <c r="L1843" s="1" t="n">
        <f aca="false">L1842+K1843</f>
        <v>0</v>
      </c>
    </row>
    <row r="1844" customFormat="false" ht="15" hidden="false" customHeight="true" outlineLevel="0" collapsed="false">
      <c r="A1844" s="1" t="s">
        <v>325</v>
      </c>
      <c r="B1844" s="1" t="s">
        <v>4993</v>
      </c>
      <c r="C1844" s="1" t="n">
        <v>25</v>
      </c>
      <c r="E1844" s="1" t="s">
        <v>5025</v>
      </c>
      <c r="F1844" s="1" t="s">
        <v>492</v>
      </c>
      <c r="G1844" s="1" t="s">
        <v>1654</v>
      </c>
      <c r="H1844" s="1" t="s">
        <v>1654</v>
      </c>
      <c r="I1844" s="1" t="s">
        <v>4087</v>
      </c>
      <c r="J1844" s="1" t="s">
        <v>5043</v>
      </c>
      <c r="K1844" s="1" t="n">
        <f aca="false">IF(Search!$D$5="",0,IF(AND(OR(Search!$N$5="",ISNUMBER(SEARCH(Search!$N$5,J1844))),OR(Search!$N$6="",ISNUMBER(SEARCH(Search!$N$6,J1844))),OR(Search!$N$7="",ISNUMBER(SEARCH(Search!$N$7,J1844))),OR(Search!$N$8="",ISNUMBER(SEARCH(Search!$N$8,J1844)))),1,0))</f>
        <v>0</v>
      </c>
      <c r="L1844" s="1" t="n">
        <f aca="false">L1843+K1844</f>
        <v>0</v>
      </c>
    </row>
    <row r="1845" customFormat="false" ht="15" hidden="false" customHeight="true" outlineLevel="0" collapsed="false">
      <c r="A1845" s="1" t="s">
        <v>325</v>
      </c>
      <c r="B1845" s="1" t="s">
        <v>4993</v>
      </c>
      <c r="C1845" s="1" t="n">
        <v>26</v>
      </c>
      <c r="E1845" s="1" t="s">
        <v>5027</v>
      </c>
      <c r="F1845" s="1" t="s">
        <v>492</v>
      </c>
      <c r="G1845" s="1" t="s">
        <v>5044</v>
      </c>
      <c r="H1845" s="1" t="s">
        <v>5044</v>
      </c>
      <c r="I1845" s="1" t="s">
        <v>4087</v>
      </c>
      <c r="J1845" s="1" t="s">
        <v>5045</v>
      </c>
      <c r="K1845" s="1" t="n">
        <f aca="false">IF(Search!$D$5="",0,IF(AND(OR(Search!$N$5="",ISNUMBER(SEARCH(Search!$N$5,J1845))),OR(Search!$N$6="",ISNUMBER(SEARCH(Search!$N$6,J1845))),OR(Search!$N$7="",ISNUMBER(SEARCH(Search!$N$7,J1845))),OR(Search!$N$8="",ISNUMBER(SEARCH(Search!$N$8,J1845)))),1,0))</f>
        <v>0</v>
      </c>
      <c r="L1845" s="1" t="n">
        <f aca="false">L1844+K1845</f>
        <v>0</v>
      </c>
    </row>
    <row r="1846" customFormat="false" ht="15" hidden="false" customHeight="true" outlineLevel="0" collapsed="false">
      <c r="A1846" s="1" t="s">
        <v>325</v>
      </c>
      <c r="B1846" s="1" t="s">
        <v>4993</v>
      </c>
      <c r="C1846" s="1" t="n">
        <v>27</v>
      </c>
      <c r="E1846" s="1" t="s">
        <v>5027</v>
      </c>
      <c r="F1846" s="1" t="s">
        <v>2699</v>
      </c>
      <c r="G1846" s="1" t="s">
        <v>5044</v>
      </c>
      <c r="H1846" s="1" t="s">
        <v>5044</v>
      </c>
      <c r="I1846" s="1" t="s">
        <v>3792</v>
      </c>
      <c r="J1846" s="1" t="s">
        <v>5046</v>
      </c>
      <c r="K1846" s="1" t="n">
        <f aca="false">IF(Search!$D$5="",0,IF(AND(OR(Search!$N$5="",ISNUMBER(SEARCH(Search!$N$5,J1846))),OR(Search!$N$6="",ISNUMBER(SEARCH(Search!$N$6,J1846))),OR(Search!$N$7="",ISNUMBER(SEARCH(Search!$N$7,J1846))),OR(Search!$N$8="",ISNUMBER(SEARCH(Search!$N$8,J1846)))),1,0))</f>
        <v>0</v>
      </c>
      <c r="L1846" s="1" t="n">
        <f aca="false">L1845+K1846</f>
        <v>0</v>
      </c>
    </row>
    <row r="1847" customFormat="false" ht="15" hidden="false" customHeight="true" outlineLevel="0" collapsed="false">
      <c r="A1847" s="1" t="s">
        <v>325</v>
      </c>
      <c r="B1847" s="1" t="s">
        <v>4993</v>
      </c>
      <c r="C1847" s="1" t="n">
        <v>28</v>
      </c>
      <c r="E1847" s="1" t="s">
        <v>5029</v>
      </c>
      <c r="F1847" s="1" t="s">
        <v>2699</v>
      </c>
      <c r="G1847" s="1" t="s">
        <v>5047</v>
      </c>
      <c r="H1847" s="1" t="s">
        <v>5047</v>
      </c>
      <c r="I1847" s="1" t="s">
        <v>3792</v>
      </c>
      <c r="J1847" s="1" t="s">
        <v>5048</v>
      </c>
      <c r="K1847" s="1" t="n">
        <f aca="false">IF(Search!$D$5="",0,IF(AND(OR(Search!$N$5="",ISNUMBER(SEARCH(Search!$N$5,J1847))),OR(Search!$N$6="",ISNUMBER(SEARCH(Search!$N$6,J1847))),OR(Search!$N$7="",ISNUMBER(SEARCH(Search!$N$7,J1847))),OR(Search!$N$8="",ISNUMBER(SEARCH(Search!$N$8,J1847)))),1,0))</f>
        <v>0</v>
      </c>
      <c r="L1847" s="1" t="n">
        <f aca="false">L1846+K1847</f>
        <v>0</v>
      </c>
    </row>
    <row r="1848" customFormat="false" ht="15" hidden="false" customHeight="true" outlineLevel="0" collapsed="false">
      <c r="A1848" s="1" t="s">
        <v>325</v>
      </c>
      <c r="B1848" s="1" t="s">
        <v>4993</v>
      </c>
      <c r="C1848" s="1" t="n">
        <v>29</v>
      </c>
      <c r="E1848" s="1" t="s">
        <v>5029</v>
      </c>
      <c r="F1848" s="1" t="s">
        <v>2704</v>
      </c>
      <c r="G1848" s="1" t="s">
        <v>5047</v>
      </c>
      <c r="H1848" s="1" t="s">
        <v>5047</v>
      </c>
      <c r="I1848" s="1" t="s">
        <v>2806</v>
      </c>
      <c r="J1848" s="1" t="s">
        <v>5049</v>
      </c>
      <c r="K1848" s="1" t="n">
        <f aca="false">IF(Search!$D$5="",0,IF(AND(OR(Search!$N$5="",ISNUMBER(SEARCH(Search!$N$5,J1848))),OR(Search!$N$6="",ISNUMBER(SEARCH(Search!$N$6,J1848))),OR(Search!$N$7="",ISNUMBER(SEARCH(Search!$N$7,J1848))),OR(Search!$N$8="",ISNUMBER(SEARCH(Search!$N$8,J1848)))),1,0))</f>
        <v>0</v>
      </c>
      <c r="L1848" s="1" t="n">
        <f aca="false">L1847+K1848</f>
        <v>0</v>
      </c>
    </row>
    <row r="1849" customFormat="false" ht="15" hidden="false" customHeight="true" outlineLevel="0" collapsed="false">
      <c r="A1849" s="1" t="s">
        <v>325</v>
      </c>
      <c r="B1849" s="1" t="s">
        <v>4993</v>
      </c>
      <c r="C1849" s="1" t="n">
        <v>30</v>
      </c>
      <c r="E1849" s="1" t="s">
        <v>5031</v>
      </c>
      <c r="F1849" s="1" t="s">
        <v>2704</v>
      </c>
      <c r="G1849" s="1" t="s">
        <v>5050</v>
      </c>
      <c r="H1849" s="1" t="s">
        <v>5051</v>
      </c>
      <c r="I1849" s="1" t="s">
        <v>2806</v>
      </c>
      <c r="J1849" s="1" t="s">
        <v>5052</v>
      </c>
      <c r="K1849" s="1" t="n">
        <f aca="false">IF(Search!$D$5="",0,IF(AND(OR(Search!$N$5="",ISNUMBER(SEARCH(Search!$N$5,J1849))),OR(Search!$N$6="",ISNUMBER(SEARCH(Search!$N$6,J1849))),OR(Search!$N$7="",ISNUMBER(SEARCH(Search!$N$7,J1849))),OR(Search!$N$8="",ISNUMBER(SEARCH(Search!$N$8,J1849)))),1,0))</f>
        <v>0</v>
      </c>
      <c r="L1849" s="1" t="n">
        <f aca="false">L1848+K1849</f>
        <v>0</v>
      </c>
    </row>
    <row r="1850" customFormat="false" ht="15" hidden="false" customHeight="true" outlineLevel="0" collapsed="false">
      <c r="A1850" s="1" t="s">
        <v>325</v>
      </c>
      <c r="B1850" s="1" t="s">
        <v>4993</v>
      </c>
      <c r="C1850" s="1" t="n">
        <v>31</v>
      </c>
      <c r="E1850" s="1" t="s">
        <v>5031</v>
      </c>
      <c r="F1850" s="1" t="s">
        <v>2710</v>
      </c>
      <c r="G1850" s="1" t="s">
        <v>5050</v>
      </c>
      <c r="H1850" s="1" t="s">
        <v>5051</v>
      </c>
      <c r="I1850" s="1" t="s">
        <v>3281</v>
      </c>
      <c r="J1850" s="1" t="s">
        <v>5053</v>
      </c>
      <c r="K1850" s="1" t="n">
        <f aca="false">IF(Search!$D$5="",0,IF(AND(OR(Search!$N$5="",ISNUMBER(SEARCH(Search!$N$5,J1850))),OR(Search!$N$6="",ISNUMBER(SEARCH(Search!$N$6,J1850))),OR(Search!$N$7="",ISNUMBER(SEARCH(Search!$N$7,J1850))),OR(Search!$N$8="",ISNUMBER(SEARCH(Search!$N$8,J1850)))),1,0))</f>
        <v>0</v>
      </c>
      <c r="L1850" s="1" t="n">
        <f aca="false">L1849+K1850</f>
        <v>0</v>
      </c>
    </row>
    <row r="1851" customFormat="false" ht="15" hidden="false" customHeight="true" outlineLevel="0" collapsed="false">
      <c r="A1851" s="1" t="s">
        <v>325</v>
      </c>
      <c r="B1851" s="1" t="s">
        <v>4993</v>
      </c>
      <c r="C1851" s="1" t="n">
        <v>32</v>
      </c>
      <c r="E1851" s="1" t="s">
        <v>5033</v>
      </c>
      <c r="F1851" s="1" t="s">
        <v>2710</v>
      </c>
      <c r="G1851" s="1" t="s">
        <v>5054</v>
      </c>
      <c r="H1851" s="1" t="s">
        <v>5055</v>
      </c>
      <c r="I1851" s="1" t="s">
        <v>3281</v>
      </c>
      <c r="J1851" s="1" t="s">
        <v>5056</v>
      </c>
      <c r="K1851" s="1" t="n">
        <f aca="false">IF(Search!$D$5="",0,IF(AND(OR(Search!$N$5="",ISNUMBER(SEARCH(Search!$N$5,J1851))),OR(Search!$N$6="",ISNUMBER(SEARCH(Search!$N$6,J1851))),OR(Search!$N$7="",ISNUMBER(SEARCH(Search!$N$7,J1851))),OR(Search!$N$8="",ISNUMBER(SEARCH(Search!$N$8,J1851)))),1,0))</f>
        <v>0</v>
      </c>
      <c r="L1851" s="1" t="n">
        <f aca="false">L1850+K1851</f>
        <v>0</v>
      </c>
    </row>
    <row r="1852" customFormat="false" ht="15" hidden="false" customHeight="true" outlineLevel="0" collapsed="false">
      <c r="A1852" s="1" t="s">
        <v>325</v>
      </c>
      <c r="B1852" s="1" t="s">
        <v>4993</v>
      </c>
      <c r="C1852" s="1" t="n">
        <v>33</v>
      </c>
      <c r="E1852" s="1" t="s">
        <v>5033</v>
      </c>
      <c r="F1852" s="1" t="s">
        <v>3831</v>
      </c>
      <c r="G1852" s="1" t="s">
        <v>5054</v>
      </c>
      <c r="H1852" s="1" t="s">
        <v>5055</v>
      </c>
      <c r="I1852" s="1" t="s">
        <v>2150</v>
      </c>
      <c r="J1852" s="1" t="s">
        <v>5057</v>
      </c>
      <c r="K1852" s="1" t="n">
        <f aca="false">IF(Search!$D$5="",0,IF(AND(OR(Search!$N$5="",ISNUMBER(SEARCH(Search!$N$5,J1852))),OR(Search!$N$6="",ISNUMBER(SEARCH(Search!$N$6,J1852))),OR(Search!$N$7="",ISNUMBER(SEARCH(Search!$N$7,J1852))),OR(Search!$N$8="",ISNUMBER(SEARCH(Search!$N$8,J1852)))),1,0))</f>
        <v>0</v>
      </c>
      <c r="L1852" s="1" t="n">
        <f aca="false">L1851+K1852</f>
        <v>0</v>
      </c>
    </row>
    <row r="1853" customFormat="false" ht="15" hidden="false" customHeight="true" outlineLevel="0" collapsed="false">
      <c r="A1853" s="1" t="s">
        <v>325</v>
      </c>
      <c r="B1853" s="1" t="s">
        <v>4993</v>
      </c>
      <c r="C1853" s="1" t="n">
        <v>35</v>
      </c>
      <c r="E1853" s="1" t="s">
        <v>5058</v>
      </c>
      <c r="J1853" s="1" t="s">
        <v>5058</v>
      </c>
      <c r="K1853" s="1" t="n">
        <f aca="false">IF(Search!$D$5="",0,IF(AND(OR(Search!$N$5="",ISNUMBER(SEARCH(Search!$N$5,J1853))),OR(Search!$N$6="",ISNUMBER(SEARCH(Search!$N$6,J1853))),OR(Search!$N$7="",ISNUMBER(SEARCH(Search!$N$7,J1853))),OR(Search!$N$8="",ISNUMBER(SEARCH(Search!$N$8,J1853)))),1,0))</f>
        <v>0</v>
      </c>
      <c r="L1853" s="1" t="n">
        <f aca="false">L1852+K1853</f>
        <v>0</v>
      </c>
    </row>
    <row r="1854" customFormat="false" ht="68.25" hidden="false" customHeight="true" outlineLevel="0" collapsed="false">
      <c r="A1854" s="1" t="s">
        <v>325</v>
      </c>
      <c r="B1854" s="1" t="s">
        <v>4993</v>
      </c>
      <c r="C1854" s="1" t="n">
        <v>36</v>
      </c>
      <c r="E1854" s="1" t="s">
        <v>5017</v>
      </c>
      <c r="F1854" s="46" t="s">
        <v>5059</v>
      </c>
      <c r="G1854" s="46" t="s">
        <v>5060</v>
      </c>
      <c r="H1854" s="46" t="s">
        <v>5061</v>
      </c>
      <c r="I1854" s="46" t="s">
        <v>5062</v>
      </c>
      <c r="J1854" s="46" t="s">
        <v>5063</v>
      </c>
      <c r="K1854" s="1" t="n">
        <f aca="false">IF(Search!$D$5="",0,IF(AND(OR(Search!$N$5="",ISNUMBER(SEARCH(Search!$N$5,J1854))),OR(Search!$N$6="",ISNUMBER(SEARCH(Search!$N$6,J1854))),OR(Search!$N$7="",ISNUMBER(SEARCH(Search!$N$7,J1854))),OR(Search!$N$8="",ISNUMBER(SEARCH(Search!$N$8,J1854)))),1,0))</f>
        <v>0</v>
      </c>
      <c r="L1854" s="1" t="n">
        <f aca="false">L1853+K1854</f>
        <v>0</v>
      </c>
    </row>
    <row r="1855" customFormat="false" ht="15" hidden="false" customHeight="true" outlineLevel="0" collapsed="false">
      <c r="A1855" s="1" t="s">
        <v>325</v>
      </c>
      <c r="B1855" s="1" t="s">
        <v>4993</v>
      </c>
      <c r="C1855" s="1" t="n">
        <v>37</v>
      </c>
      <c r="E1855" s="1" t="s">
        <v>5023</v>
      </c>
      <c r="F1855" s="1" t="s">
        <v>2939</v>
      </c>
      <c r="G1855" s="1" t="s">
        <v>524</v>
      </c>
      <c r="H1855" s="1" t="s">
        <v>2708</v>
      </c>
      <c r="I1855" s="1" t="s">
        <v>5064</v>
      </c>
      <c r="J1855" s="1" t="s">
        <v>5065</v>
      </c>
      <c r="K1855" s="1" t="n">
        <f aca="false">IF(Search!$D$5="",0,IF(AND(OR(Search!$N$5="",ISNUMBER(SEARCH(Search!$N$5,J1855))),OR(Search!$N$6="",ISNUMBER(SEARCH(Search!$N$6,J1855))),OR(Search!$N$7="",ISNUMBER(SEARCH(Search!$N$7,J1855))),OR(Search!$N$8="",ISNUMBER(SEARCH(Search!$N$8,J1855)))),1,0))</f>
        <v>0</v>
      </c>
      <c r="L1855" s="1" t="n">
        <f aca="false">L1854+K1855</f>
        <v>0</v>
      </c>
    </row>
    <row r="1856" customFormat="false" ht="15" hidden="false" customHeight="true" outlineLevel="0" collapsed="false">
      <c r="A1856" s="1" t="s">
        <v>325</v>
      </c>
      <c r="B1856" s="1" t="s">
        <v>4993</v>
      </c>
      <c r="C1856" s="1" t="n">
        <v>38</v>
      </c>
      <c r="E1856" s="1" t="s">
        <v>5025</v>
      </c>
      <c r="F1856" s="1" t="s">
        <v>1603</v>
      </c>
      <c r="G1856" s="1" t="s">
        <v>1603</v>
      </c>
      <c r="H1856" s="1" t="s">
        <v>1989</v>
      </c>
      <c r="I1856" s="1" t="s">
        <v>2925</v>
      </c>
      <c r="J1856" s="1" t="s">
        <v>5066</v>
      </c>
      <c r="K1856" s="1" t="n">
        <f aca="false">IF(Search!$D$5="",0,IF(AND(OR(Search!$N$5="",ISNUMBER(SEARCH(Search!$N$5,J1856))),OR(Search!$N$6="",ISNUMBER(SEARCH(Search!$N$6,J1856))),OR(Search!$N$7="",ISNUMBER(SEARCH(Search!$N$7,J1856))),OR(Search!$N$8="",ISNUMBER(SEARCH(Search!$N$8,J1856)))),1,0))</f>
        <v>0</v>
      </c>
      <c r="L1856" s="1" t="n">
        <f aca="false">L1855+K1856</f>
        <v>0</v>
      </c>
    </row>
    <row r="1857" customFormat="false" ht="15" hidden="false" customHeight="true" outlineLevel="0" collapsed="false">
      <c r="A1857" s="1" t="s">
        <v>325</v>
      </c>
      <c r="B1857" s="1" t="s">
        <v>4993</v>
      </c>
      <c r="C1857" s="1" t="n">
        <v>39</v>
      </c>
      <c r="E1857" s="1" t="s">
        <v>5027</v>
      </c>
      <c r="F1857" s="1" t="s">
        <v>3200</v>
      </c>
      <c r="G1857" s="1" t="s">
        <v>3200</v>
      </c>
      <c r="H1857" s="1" t="s">
        <v>3198</v>
      </c>
      <c r="I1857" s="1" t="s">
        <v>5067</v>
      </c>
      <c r="J1857" s="1" t="s">
        <v>5068</v>
      </c>
      <c r="K1857" s="1" t="n">
        <f aca="false">IF(Search!$D$5="",0,IF(AND(OR(Search!$N$5="",ISNUMBER(SEARCH(Search!$N$5,J1857))),OR(Search!$N$6="",ISNUMBER(SEARCH(Search!$N$6,J1857))),OR(Search!$N$7="",ISNUMBER(SEARCH(Search!$N$7,J1857))),OR(Search!$N$8="",ISNUMBER(SEARCH(Search!$N$8,J1857)))),1,0))</f>
        <v>0</v>
      </c>
      <c r="L1857" s="1" t="n">
        <f aca="false">L1856+K1857</f>
        <v>0</v>
      </c>
    </row>
    <row r="1858" customFormat="false" ht="15" hidden="false" customHeight="true" outlineLevel="0" collapsed="false">
      <c r="A1858" s="1" t="s">
        <v>325</v>
      </c>
      <c r="B1858" s="1" t="s">
        <v>4993</v>
      </c>
      <c r="C1858" s="1" t="n">
        <v>40</v>
      </c>
      <c r="E1858" s="1" t="s">
        <v>5029</v>
      </c>
      <c r="F1858" s="1" t="s">
        <v>2168</v>
      </c>
      <c r="G1858" s="1" t="s">
        <v>2168</v>
      </c>
      <c r="H1858" s="1" t="s">
        <v>2070</v>
      </c>
      <c r="I1858" s="1" t="s">
        <v>2109</v>
      </c>
      <c r="J1858" s="1" t="s">
        <v>5069</v>
      </c>
      <c r="K1858" s="1" t="n">
        <f aca="false">IF(Search!$D$5="",0,IF(AND(OR(Search!$N$5="",ISNUMBER(SEARCH(Search!$N$5,J1858))),OR(Search!$N$6="",ISNUMBER(SEARCH(Search!$N$6,J1858))),OR(Search!$N$7="",ISNUMBER(SEARCH(Search!$N$7,J1858))),OR(Search!$N$8="",ISNUMBER(SEARCH(Search!$N$8,J1858)))),1,0))</f>
        <v>0</v>
      </c>
      <c r="L1858" s="1" t="n">
        <f aca="false">L1857+K1858</f>
        <v>0</v>
      </c>
    </row>
    <row r="1859" customFormat="false" ht="15" hidden="false" customHeight="true" outlineLevel="0" collapsed="false">
      <c r="A1859" s="1" t="s">
        <v>325</v>
      </c>
      <c r="B1859" s="1" t="s">
        <v>4993</v>
      </c>
      <c r="C1859" s="1" t="n">
        <v>41</v>
      </c>
      <c r="E1859" s="1" t="s">
        <v>5031</v>
      </c>
      <c r="F1859" s="1" t="s">
        <v>2219</v>
      </c>
      <c r="G1859" s="1" t="s">
        <v>2219</v>
      </c>
      <c r="H1859" s="1" t="s">
        <v>5070</v>
      </c>
      <c r="I1859" s="1" t="s">
        <v>5071</v>
      </c>
      <c r="J1859" s="1" t="s">
        <v>5072</v>
      </c>
      <c r="K1859" s="1" t="n">
        <f aca="false">IF(Search!$D$5="",0,IF(AND(OR(Search!$N$5="",ISNUMBER(SEARCH(Search!$N$5,J1859))),OR(Search!$N$6="",ISNUMBER(SEARCH(Search!$N$6,J1859))),OR(Search!$N$7="",ISNUMBER(SEARCH(Search!$N$7,J1859))),OR(Search!$N$8="",ISNUMBER(SEARCH(Search!$N$8,J1859)))),1,0))</f>
        <v>0</v>
      </c>
      <c r="L1859" s="1" t="n">
        <f aca="false">L1858+K1859</f>
        <v>0</v>
      </c>
    </row>
    <row r="1860" customFormat="false" ht="15" hidden="false" customHeight="true" outlineLevel="0" collapsed="false">
      <c r="A1860" s="1" t="s">
        <v>325</v>
      </c>
      <c r="B1860" s="1" t="s">
        <v>4993</v>
      </c>
      <c r="C1860" s="1" t="n">
        <v>42</v>
      </c>
      <c r="E1860" s="1" t="s">
        <v>5033</v>
      </c>
      <c r="F1860" s="1" t="s">
        <v>5073</v>
      </c>
      <c r="G1860" s="1" t="s">
        <v>5073</v>
      </c>
      <c r="H1860" s="1" t="s">
        <v>5074</v>
      </c>
      <c r="I1860" s="1" t="s">
        <v>5075</v>
      </c>
      <c r="J1860" s="1" t="s">
        <v>5076</v>
      </c>
      <c r="K1860" s="1" t="n">
        <f aca="false">IF(Search!$D$5="",0,IF(AND(OR(Search!$N$5="",ISNUMBER(SEARCH(Search!$N$5,J1860))),OR(Search!$N$6="",ISNUMBER(SEARCH(Search!$N$6,J1860))),OR(Search!$N$7="",ISNUMBER(SEARCH(Search!$N$7,J1860))),OR(Search!$N$8="",ISNUMBER(SEARCH(Search!$N$8,J1860)))),1,0))</f>
        <v>0</v>
      </c>
      <c r="L1860" s="1" t="n">
        <f aca="false">L1859+K1860</f>
        <v>0</v>
      </c>
    </row>
    <row r="1861" customFormat="false" ht="15" hidden="false" customHeight="true" outlineLevel="0" collapsed="false">
      <c r="A1861" s="1" t="s">
        <v>325</v>
      </c>
      <c r="B1861" s="1" t="s">
        <v>4993</v>
      </c>
      <c r="C1861" s="1" t="n">
        <v>44</v>
      </c>
      <c r="E1861" s="1" t="s">
        <v>5077</v>
      </c>
      <c r="J1861" s="1" t="s">
        <v>5077</v>
      </c>
      <c r="K1861" s="1" t="n">
        <f aca="false">IF(Search!$D$5="",0,IF(AND(OR(Search!$N$5="",ISNUMBER(SEARCH(Search!$N$5,J1861))),OR(Search!$N$6="",ISNUMBER(SEARCH(Search!$N$6,J1861))),OR(Search!$N$7="",ISNUMBER(SEARCH(Search!$N$7,J1861))),OR(Search!$N$8="",ISNUMBER(SEARCH(Search!$N$8,J1861)))),1,0))</f>
        <v>0</v>
      </c>
      <c r="L1861" s="1" t="n">
        <f aca="false">L1860+K1861</f>
        <v>0</v>
      </c>
    </row>
    <row r="1862" customFormat="false" ht="68.25" hidden="false" customHeight="true" outlineLevel="0" collapsed="false">
      <c r="A1862" s="1" t="s">
        <v>325</v>
      </c>
      <c r="B1862" s="1" t="s">
        <v>4993</v>
      </c>
      <c r="C1862" s="1" t="n">
        <v>45</v>
      </c>
      <c r="E1862" s="1" t="s">
        <v>5017</v>
      </c>
      <c r="F1862" s="46" t="s">
        <v>5036</v>
      </c>
      <c r="G1862" s="46" t="s">
        <v>5078</v>
      </c>
      <c r="H1862" s="46" t="s">
        <v>5079</v>
      </c>
      <c r="I1862" s="46" t="s">
        <v>5080</v>
      </c>
      <c r="J1862" s="46" t="s">
        <v>5081</v>
      </c>
      <c r="K1862" s="1" t="n">
        <f aca="false">IF(Search!$D$5="",0,IF(AND(OR(Search!$N$5="",ISNUMBER(SEARCH(Search!$N$5,J1862))),OR(Search!$N$6="",ISNUMBER(SEARCH(Search!$N$6,J1862))),OR(Search!$N$7="",ISNUMBER(SEARCH(Search!$N$7,J1862))),OR(Search!$N$8="",ISNUMBER(SEARCH(Search!$N$8,J1862)))),1,0))</f>
        <v>0</v>
      </c>
      <c r="L1862" s="1" t="n">
        <f aca="false">L1861+K1862</f>
        <v>0</v>
      </c>
    </row>
    <row r="1863" customFormat="false" ht="15" hidden="false" customHeight="true" outlineLevel="0" collapsed="false">
      <c r="A1863" s="1" t="s">
        <v>325</v>
      </c>
      <c r="B1863" s="1" t="s">
        <v>4993</v>
      </c>
      <c r="C1863" s="1" t="n">
        <v>46</v>
      </c>
      <c r="E1863" s="1" t="s">
        <v>5023</v>
      </c>
      <c r="F1863" s="1" t="s">
        <v>1959</v>
      </c>
      <c r="G1863" s="1" t="s">
        <v>2717</v>
      </c>
      <c r="H1863" s="1" t="s">
        <v>2062</v>
      </c>
      <c r="I1863" s="1" t="s">
        <v>2391</v>
      </c>
      <c r="J1863" s="1" t="s">
        <v>5082</v>
      </c>
      <c r="K1863" s="1" t="n">
        <f aca="false">IF(Search!$D$5="",0,IF(AND(OR(Search!$N$5="",ISNUMBER(SEARCH(Search!$N$5,J1863))),OR(Search!$N$6="",ISNUMBER(SEARCH(Search!$N$6,J1863))),OR(Search!$N$7="",ISNUMBER(SEARCH(Search!$N$7,J1863))),OR(Search!$N$8="",ISNUMBER(SEARCH(Search!$N$8,J1863)))),1,0))</f>
        <v>0</v>
      </c>
      <c r="L1863" s="1" t="n">
        <f aca="false">L1862+K1863</f>
        <v>0</v>
      </c>
    </row>
    <row r="1864" customFormat="false" ht="15" hidden="false" customHeight="true" outlineLevel="0" collapsed="false">
      <c r="A1864" s="1" t="s">
        <v>325</v>
      </c>
      <c r="B1864" s="1" t="s">
        <v>4993</v>
      </c>
      <c r="C1864" s="1" t="n">
        <v>47</v>
      </c>
      <c r="E1864" s="1" t="s">
        <v>5025</v>
      </c>
      <c r="F1864" s="1" t="s">
        <v>492</v>
      </c>
      <c r="G1864" s="1" t="s">
        <v>2717</v>
      </c>
      <c r="H1864" s="1" t="s">
        <v>3721</v>
      </c>
      <c r="I1864" s="1" t="s">
        <v>3220</v>
      </c>
      <c r="J1864" s="1" t="s">
        <v>5083</v>
      </c>
      <c r="K1864" s="1" t="n">
        <f aca="false">IF(Search!$D$5="",0,IF(AND(OR(Search!$N$5="",ISNUMBER(SEARCH(Search!$N$5,J1864))),OR(Search!$N$6="",ISNUMBER(SEARCH(Search!$N$6,J1864))),OR(Search!$N$7="",ISNUMBER(SEARCH(Search!$N$7,J1864))),OR(Search!$N$8="",ISNUMBER(SEARCH(Search!$N$8,J1864)))),1,0))</f>
        <v>0</v>
      </c>
      <c r="L1864" s="1" t="n">
        <f aca="false">L1863+K1864</f>
        <v>0</v>
      </c>
    </row>
    <row r="1865" customFormat="false" ht="15" hidden="false" customHeight="true" outlineLevel="0" collapsed="false">
      <c r="A1865" s="1" t="s">
        <v>325</v>
      </c>
      <c r="B1865" s="1" t="s">
        <v>4993</v>
      </c>
      <c r="C1865" s="1" t="n">
        <v>48</v>
      </c>
      <c r="E1865" s="1" t="s">
        <v>5027</v>
      </c>
      <c r="F1865" s="1" t="s">
        <v>2699</v>
      </c>
      <c r="G1865" s="1" t="s">
        <v>2717</v>
      </c>
      <c r="H1865" s="1" t="s">
        <v>2723</v>
      </c>
      <c r="I1865" s="1" t="s">
        <v>3241</v>
      </c>
      <c r="J1865" s="1" t="s">
        <v>5084</v>
      </c>
      <c r="K1865" s="1" t="n">
        <f aca="false">IF(Search!$D$5="",0,IF(AND(OR(Search!$N$5="",ISNUMBER(SEARCH(Search!$N$5,J1865))),OR(Search!$N$6="",ISNUMBER(SEARCH(Search!$N$6,J1865))),OR(Search!$N$7="",ISNUMBER(SEARCH(Search!$N$7,J1865))),OR(Search!$N$8="",ISNUMBER(SEARCH(Search!$N$8,J1865)))),1,0))</f>
        <v>0</v>
      </c>
      <c r="L1865" s="1" t="n">
        <f aca="false">L1864+K1865</f>
        <v>0</v>
      </c>
    </row>
    <row r="1866" customFormat="false" ht="15" hidden="false" customHeight="true" outlineLevel="0" collapsed="false">
      <c r="A1866" s="1" t="s">
        <v>325</v>
      </c>
      <c r="B1866" s="1" t="s">
        <v>4993</v>
      </c>
      <c r="C1866" s="1" t="n">
        <v>49</v>
      </c>
      <c r="E1866" s="1" t="s">
        <v>5029</v>
      </c>
      <c r="F1866" s="1" t="s">
        <v>2704</v>
      </c>
      <c r="G1866" s="1" t="s">
        <v>3721</v>
      </c>
      <c r="H1866" s="1" t="s">
        <v>426</v>
      </c>
      <c r="I1866" s="1" t="s">
        <v>5085</v>
      </c>
      <c r="J1866" s="1" t="s">
        <v>5086</v>
      </c>
      <c r="K1866" s="1" t="n">
        <f aca="false">IF(Search!$D$5="",0,IF(AND(OR(Search!$N$5="",ISNUMBER(SEARCH(Search!$N$5,J1866))),OR(Search!$N$6="",ISNUMBER(SEARCH(Search!$N$6,J1866))),OR(Search!$N$7="",ISNUMBER(SEARCH(Search!$N$7,J1866))),OR(Search!$N$8="",ISNUMBER(SEARCH(Search!$N$8,J1866)))),1,0))</f>
        <v>0</v>
      </c>
      <c r="L1866" s="1" t="n">
        <f aca="false">L1865+K1866</f>
        <v>0</v>
      </c>
    </row>
    <row r="1867" customFormat="false" ht="15" hidden="false" customHeight="true" outlineLevel="0" collapsed="false">
      <c r="A1867" s="1" t="s">
        <v>325</v>
      </c>
      <c r="B1867" s="1" t="s">
        <v>4993</v>
      </c>
      <c r="C1867" s="1" t="n">
        <v>50</v>
      </c>
      <c r="E1867" s="1" t="s">
        <v>5031</v>
      </c>
      <c r="F1867" s="1" t="s">
        <v>2710</v>
      </c>
      <c r="G1867" s="1" t="s">
        <v>754</v>
      </c>
      <c r="H1867" s="1" t="s">
        <v>732</v>
      </c>
      <c r="I1867" s="1" t="s">
        <v>3721</v>
      </c>
      <c r="J1867" s="1" t="s">
        <v>5087</v>
      </c>
      <c r="K1867" s="1" t="n">
        <f aca="false">IF(Search!$D$5="",0,IF(AND(OR(Search!$N$5="",ISNUMBER(SEARCH(Search!$N$5,J1867))),OR(Search!$N$6="",ISNUMBER(SEARCH(Search!$N$6,J1867))),OR(Search!$N$7="",ISNUMBER(SEARCH(Search!$N$7,J1867))),OR(Search!$N$8="",ISNUMBER(SEARCH(Search!$N$8,J1867)))),1,0))</f>
        <v>0</v>
      </c>
      <c r="L1867" s="1" t="n">
        <f aca="false">L1866+K1867</f>
        <v>0</v>
      </c>
    </row>
    <row r="1868" customFormat="false" ht="15" hidden="false" customHeight="true" outlineLevel="0" collapsed="false">
      <c r="A1868" s="1" t="s">
        <v>325</v>
      </c>
      <c r="B1868" s="1" t="s">
        <v>4993</v>
      </c>
      <c r="C1868" s="1" t="n">
        <v>51</v>
      </c>
      <c r="E1868" s="1" t="s">
        <v>5033</v>
      </c>
      <c r="F1868" s="1" t="s">
        <v>3831</v>
      </c>
      <c r="G1868" s="1" t="s">
        <v>712</v>
      </c>
      <c r="H1868" s="1" t="s">
        <v>422</v>
      </c>
      <c r="I1868" s="1" t="s">
        <v>3853</v>
      </c>
      <c r="J1868" s="1" t="s">
        <v>5088</v>
      </c>
      <c r="K1868" s="1" t="n">
        <f aca="false">IF(Search!$D$5="",0,IF(AND(OR(Search!$N$5="",ISNUMBER(SEARCH(Search!$N$5,J1868))),OR(Search!$N$6="",ISNUMBER(SEARCH(Search!$N$6,J1868))),OR(Search!$N$7="",ISNUMBER(SEARCH(Search!$N$7,J1868))),OR(Search!$N$8="",ISNUMBER(SEARCH(Search!$N$8,J1868)))),1,0))</f>
        <v>0</v>
      </c>
      <c r="L1868" s="1" t="n">
        <f aca="false">L1867+K1868</f>
        <v>0</v>
      </c>
    </row>
    <row r="1869" customFormat="false" ht="15" hidden="false" customHeight="true" outlineLevel="0" collapsed="false">
      <c r="A1869" s="1" t="s">
        <v>325</v>
      </c>
      <c r="B1869" s="1" t="s">
        <v>4993</v>
      </c>
      <c r="C1869" s="1" t="n">
        <v>53</v>
      </c>
      <c r="E1869" s="1" t="s">
        <v>5089</v>
      </c>
      <c r="J1869" s="1" t="s">
        <v>5089</v>
      </c>
      <c r="K1869" s="1" t="n">
        <f aca="false">IF(Search!$D$5="",0,IF(AND(OR(Search!$N$5="",ISNUMBER(SEARCH(Search!$N$5,J1869))),OR(Search!$N$6="",ISNUMBER(SEARCH(Search!$N$6,J1869))),OR(Search!$N$7="",ISNUMBER(SEARCH(Search!$N$7,J1869))),OR(Search!$N$8="",ISNUMBER(SEARCH(Search!$N$8,J1869)))),1,0))</f>
        <v>0</v>
      </c>
      <c r="L1869" s="1" t="n">
        <f aca="false">L1868+K1869</f>
        <v>0</v>
      </c>
    </row>
    <row r="1870" customFormat="false" ht="54.75" hidden="false" customHeight="true" outlineLevel="0" collapsed="false">
      <c r="A1870" s="1" t="s">
        <v>325</v>
      </c>
      <c r="B1870" s="1" t="s">
        <v>4993</v>
      </c>
      <c r="C1870" s="1" t="n">
        <v>54</v>
      </c>
      <c r="E1870" s="1" t="s">
        <v>4998</v>
      </c>
      <c r="F1870" s="1" t="s">
        <v>5017</v>
      </c>
      <c r="G1870" s="46" t="s">
        <v>5090</v>
      </c>
      <c r="H1870" s="46" t="s">
        <v>5091</v>
      </c>
      <c r="I1870" s="46" t="s">
        <v>5092</v>
      </c>
      <c r="J1870" s="46" t="s">
        <v>5093</v>
      </c>
      <c r="K1870" s="1" t="n">
        <f aca="false">IF(Search!$D$5="",0,IF(AND(OR(Search!$N$5="",ISNUMBER(SEARCH(Search!$N$5,J1870))),OR(Search!$N$6="",ISNUMBER(SEARCH(Search!$N$6,J1870))),OR(Search!$N$7="",ISNUMBER(SEARCH(Search!$N$7,J1870))),OR(Search!$N$8="",ISNUMBER(SEARCH(Search!$N$8,J1870)))),1,0))</f>
        <v>0</v>
      </c>
      <c r="L1870" s="1" t="n">
        <f aca="false">L1869+K1870</f>
        <v>0</v>
      </c>
    </row>
    <row r="1871" customFormat="false" ht="15" hidden="false" customHeight="true" outlineLevel="0" collapsed="false">
      <c r="A1871" s="1" t="s">
        <v>325</v>
      </c>
      <c r="B1871" s="1" t="s">
        <v>4993</v>
      </c>
      <c r="C1871" s="1" t="n">
        <v>55</v>
      </c>
      <c r="E1871" s="1" t="s">
        <v>5094</v>
      </c>
      <c r="F1871" s="1" t="s">
        <v>5025</v>
      </c>
      <c r="G1871" s="1" t="s">
        <v>5095</v>
      </c>
      <c r="H1871" s="1" t="s">
        <v>2236</v>
      </c>
      <c r="I1871" s="1" t="s">
        <v>1834</v>
      </c>
      <c r="J1871" s="1" t="s">
        <v>5096</v>
      </c>
      <c r="K1871" s="1" t="n">
        <f aca="false">IF(Search!$D$5="",0,IF(AND(OR(Search!$N$5="",ISNUMBER(SEARCH(Search!$N$5,J1871))),OR(Search!$N$6="",ISNUMBER(SEARCH(Search!$N$6,J1871))),OR(Search!$N$7="",ISNUMBER(SEARCH(Search!$N$7,J1871))),OR(Search!$N$8="",ISNUMBER(SEARCH(Search!$N$8,J1871)))),1,0))</f>
        <v>0</v>
      </c>
      <c r="L1871" s="1" t="n">
        <f aca="false">L1870+K1871</f>
        <v>0</v>
      </c>
    </row>
    <row r="1872" customFormat="false" ht="15" hidden="false" customHeight="true" outlineLevel="0" collapsed="false">
      <c r="A1872" s="1" t="s">
        <v>325</v>
      </c>
      <c r="B1872" s="1" t="s">
        <v>4993</v>
      </c>
      <c r="C1872" s="1" t="n">
        <v>56</v>
      </c>
      <c r="E1872" s="1" t="s">
        <v>5097</v>
      </c>
      <c r="F1872" s="1" t="s">
        <v>5025</v>
      </c>
      <c r="G1872" s="1" t="s">
        <v>5095</v>
      </c>
      <c r="H1872" s="1" t="s">
        <v>787</v>
      </c>
      <c r="I1872" s="1" t="s">
        <v>1975</v>
      </c>
      <c r="J1872" s="1" t="s">
        <v>5098</v>
      </c>
      <c r="K1872" s="1" t="n">
        <f aca="false">IF(Search!$D$5="",0,IF(AND(OR(Search!$N$5="",ISNUMBER(SEARCH(Search!$N$5,J1872))),OR(Search!$N$6="",ISNUMBER(SEARCH(Search!$N$6,J1872))),OR(Search!$N$7="",ISNUMBER(SEARCH(Search!$N$7,J1872))),OR(Search!$N$8="",ISNUMBER(SEARCH(Search!$N$8,J1872)))),1,0))</f>
        <v>0</v>
      </c>
      <c r="L1872" s="1" t="n">
        <f aca="false">L1871+K1872</f>
        <v>0</v>
      </c>
    </row>
    <row r="1873" customFormat="false" ht="15" hidden="false" customHeight="true" outlineLevel="0" collapsed="false">
      <c r="A1873" s="1" t="s">
        <v>325</v>
      </c>
      <c r="B1873" s="1" t="s">
        <v>4993</v>
      </c>
      <c r="C1873" s="1" t="n">
        <v>57</v>
      </c>
      <c r="E1873" s="1" t="s">
        <v>5099</v>
      </c>
      <c r="F1873" s="1" t="s">
        <v>5025</v>
      </c>
      <c r="G1873" s="1" t="s">
        <v>5095</v>
      </c>
      <c r="H1873" s="1" t="s">
        <v>2059</v>
      </c>
      <c r="I1873" s="1" t="s">
        <v>587</v>
      </c>
      <c r="J1873" s="1" t="s">
        <v>5100</v>
      </c>
      <c r="K1873" s="1" t="n">
        <f aca="false">IF(Search!$D$5="",0,IF(AND(OR(Search!$N$5="",ISNUMBER(SEARCH(Search!$N$5,J1873))),OR(Search!$N$6="",ISNUMBER(SEARCH(Search!$N$6,J1873))),OR(Search!$N$7="",ISNUMBER(SEARCH(Search!$N$7,J1873))),OR(Search!$N$8="",ISNUMBER(SEARCH(Search!$N$8,J1873)))),1,0))</f>
        <v>0</v>
      </c>
      <c r="L1873" s="1" t="n">
        <f aca="false">L1872+K1873</f>
        <v>0</v>
      </c>
    </row>
    <row r="1874" customFormat="false" ht="15" hidden="false" customHeight="true" outlineLevel="0" collapsed="false">
      <c r="A1874" s="1" t="s">
        <v>325</v>
      </c>
      <c r="B1874" s="1" t="s">
        <v>4993</v>
      </c>
      <c r="C1874" s="1" t="n">
        <v>58</v>
      </c>
      <c r="E1874" s="1" t="s">
        <v>5101</v>
      </c>
      <c r="F1874" s="1" t="s">
        <v>5025</v>
      </c>
      <c r="G1874" s="1" t="s">
        <v>5095</v>
      </c>
      <c r="H1874" s="1" t="s">
        <v>5102</v>
      </c>
      <c r="I1874" s="1" t="s">
        <v>2699</v>
      </c>
      <c r="J1874" s="1" t="s">
        <v>5103</v>
      </c>
      <c r="K1874" s="1" t="n">
        <f aca="false">IF(Search!$D$5="",0,IF(AND(OR(Search!$N$5="",ISNUMBER(SEARCH(Search!$N$5,J1874))),OR(Search!$N$6="",ISNUMBER(SEARCH(Search!$N$6,J1874))),OR(Search!$N$7="",ISNUMBER(SEARCH(Search!$N$7,J1874))),OR(Search!$N$8="",ISNUMBER(SEARCH(Search!$N$8,J1874)))),1,0))</f>
        <v>0</v>
      </c>
      <c r="L1874" s="1" t="n">
        <f aca="false">L1873+K1874</f>
        <v>0</v>
      </c>
    </row>
    <row r="1875" customFormat="false" ht="15" hidden="false" customHeight="true" outlineLevel="0" collapsed="false">
      <c r="A1875" s="1" t="s">
        <v>325</v>
      </c>
      <c r="B1875" s="1" t="s">
        <v>4993</v>
      </c>
      <c r="C1875" s="1" t="n">
        <v>59</v>
      </c>
      <c r="E1875" s="1" t="s">
        <v>5104</v>
      </c>
      <c r="F1875" s="1" t="s">
        <v>5025</v>
      </c>
      <c r="G1875" s="1" t="s">
        <v>5095</v>
      </c>
      <c r="H1875" s="1" t="s">
        <v>5105</v>
      </c>
      <c r="I1875" s="1" t="s">
        <v>2717</v>
      </c>
      <c r="J1875" s="1" t="s">
        <v>5106</v>
      </c>
      <c r="K1875" s="1" t="n">
        <f aca="false">IF(Search!$D$5="",0,IF(AND(OR(Search!$N$5="",ISNUMBER(SEARCH(Search!$N$5,J1875))),OR(Search!$N$6="",ISNUMBER(SEARCH(Search!$N$6,J1875))),OR(Search!$N$7="",ISNUMBER(SEARCH(Search!$N$7,J1875))),OR(Search!$N$8="",ISNUMBER(SEARCH(Search!$N$8,J1875)))),1,0))</f>
        <v>0</v>
      </c>
      <c r="L1875" s="1" t="n">
        <f aca="false">L1874+K1875</f>
        <v>0</v>
      </c>
    </row>
    <row r="1876" customFormat="false" ht="15" hidden="false" customHeight="true" outlineLevel="0" collapsed="false">
      <c r="A1876" s="1" t="s">
        <v>325</v>
      </c>
      <c r="B1876" s="1" t="s">
        <v>4993</v>
      </c>
      <c r="C1876" s="1" t="n">
        <v>60</v>
      </c>
      <c r="E1876" s="1" t="s">
        <v>5107</v>
      </c>
      <c r="F1876" s="1" t="s">
        <v>5027</v>
      </c>
      <c r="G1876" s="1" t="s">
        <v>5108</v>
      </c>
      <c r="H1876" s="1" t="s">
        <v>5109</v>
      </c>
      <c r="I1876" s="1" t="s">
        <v>1975</v>
      </c>
      <c r="J1876" s="1" t="s">
        <v>5110</v>
      </c>
      <c r="K1876" s="1" t="n">
        <f aca="false">IF(Search!$D$5="",0,IF(AND(OR(Search!$N$5="",ISNUMBER(SEARCH(Search!$N$5,J1876))),OR(Search!$N$6="",ISNUMBER(SEARCH(Search!$N$6,J1876))),OR(Search!$N$7="",ISNUMBER(SEARCH(Search!$N$7,J1876))),OR(Search!$N$8="",ISNUMBER(SEARCH(Search!$N$8,J1876)))),1,0))</f>
        <v>0</v>
      </c>
      <c r="L1876" s="1" t="n">
        <f aca="false">L1875+K1876</f>
        <v>0</v>
      </c>
    </row>
    <row r="1877" customFormat="false" ht="15" hidden="false" customHeight="true" outlineLevel="0" collapsed="false">
      <c r="A1877" s="1" t="s">
        <v>325</v>
      </c>
      <c r="B1877" s="1" t="s">
        <v>4993</v>
      </c>
      <c r="C1877" s="1" t="n">
        <v>61</v>
      </c>
      <c r="E1877" s="1" t="s">
        <v>5111</v>
      </c>
      <c r="F1877" s="1" t="s">
        <v>5027</v>
      </c>
      <c r="G1877" s="1" t="s">
        <v>5108</v>
      </c>
      <c r="H1877" s="1" t="s">
        <v>3353</v>
      </c>
      <c r="I1877" s="1" t="s">
        <v>1959</v>
      </c>
      <c r="J1877" s="1" t="s">
        <v>5112</v>
      </c>
      <c r="K1877" s="1" t="n">
        <f aca="false">IF(Search!$D$5="",0,IF(AND(OR(Search!$N$5="",ISNUMBER(SEARCH(Search!$N$5,J1877))),OR(Search!$N$6="",ISNUMBER(SEARCH(Search!$N$6,J1877))),OR(Search!$N$7="",ISNUMBER(SEARCH(Search!$N$7,J1877))),OR(Search!$N$8="",ISNUMBER(SEARCH(Search!$N$8,J1877)))),1,0))</f>
        <v>0</v>
      </c>
      <c r="L1877" s="1" t="n">
        <f aca="false">L1876+K1877</f>
        <v>0</v>
      </c>
    </row>
    <row r="1878" customFormat="false" ht="15" hidden="false" customHeight="true" outlineLevel="0" collapsed="false">
      <c r="A1878" s="1" t="s">
        <v>325</v>
      </c>
      <c r="B1878" s="1" t="s">
        <v>4993</v>
      </c>
      <c r="C1878" s="1" t="n">
        <v>62</v>
      </c>
      <c r="E1878" s="1" t="s">
        <v>5113</v>
      </c>
      <c r="F1878" s="1" t="s">
        <v>5027</v>
      </c>
      <c r="G1878" s="1" t="s">
        <v>5108</v>
      </c>
      <c r="H1878" s="1" t="s">
        <v>5114</v>
      </c>
      <c r="I1878" s="1" t="s">
        <v>2699</v>
      </c>
      <c r="J1878" s="1" t="s">
        <v>5115</v>
      </c>
      <c r="K1878" s="1" t="n">
        <f aca="false">IF(Search!$D$5="",0,IF(AND(OR(Search!$N$5="",ISNUMBER(SEARCH(Search!$N$5,J1878))),OR(Search!$N$6="",ISNUMBER(SEARCH(Search!$N$6,J1878))),OR(Search!$N$7="",ISNUMBER(SEARCH(Search!$N$7,J1878))),OR(Search!$N$8="",ISNUMBER(SEARCH(Search!$N$8,J1878)))),1,0))</f>
        <v>0</v>
      </c>
      <c r="L1878" s="1" t="n">
        <f aca="false">L1877+K1878</f>
        <v>0</v>
      </c>
    </row>
    <row r="1879" customFormat="false" ht="15" hidden="false" customHeight="true" outlineLevel="0" collapsed="false">
      <c r="A1879" s="1" t="s">
        <v>325</v>
      </c>
      <c r="B1879" s="1" t="s">
        <v>4993</v>
      </c>
      <c r="C1879" s="1" t="n">
        <v>63</v>
      </c>
      <c r="E1879" s="1" t="s">
        <v>5116</v>
      </c>
      <c r="F1879" s="1" t="s">
        <v>5027</v>
      </c>
      <c r="G1879" s="1" t="s">
        <v>5108</v>
      </c>
      <c r="H1879" s="1" t="s">
        <v>5117</v>
      </c>
      <c r="I1879" s="1" t="s">
        <v>2717</v>
      </c>
      <c r="J1879" s="1" t="s">
        <v>5118</v>
      </c>
      <c r="K1879" s="1" t="n">
        <f aca="false">IF(Search!$D$5="",0,IF(AND(OR(Search!$N$5="",ISNUMBER(SEARCH(Search!$N$5,J1879))),OR(Search!$N$6="",ISNUMBER(SEARCH(Search!$N$6,J1879))),OR(Search!$N$7="",ISNUMBER(SEARCH(Search!$N$7,J1879))),OR(Search!$N$8="",ISNUMBER(SEARCH(Search!$N$8,J1879)))),1,0))</f>
        <v>0</v>
      </c>
      <c r="L1879" s="1" t="n">
        <f aca="false">L1878+K1879</f>
        <v>0</v>
      </c>
    </row>
    <row r="1880" customFormat="false" ht="15" hidden="false" customHeight="true" outlineLevel="0" collapsed="false">
      <c r="A1880" s="1" t="s">
        <v>325</v>
      </c>
      <c r="B1880" s="1" t="s">
        <v>4993</v>
      </c>
      <c r="C1880" s="1" t="n">
        <v>64</v>
      </c>
      <c r="E1880" s="1" t="s">
        <v>5119</v>
      </c>
      <c r="F1880" s="1" t="s">
        <v>5029</v>
      </c>
      <c r="G1880" s="1" t="s">
        <v>5120</v>
      </c>
      <c r="H1880" s="1" t="s">
        <v>3353</v>
      </c>
      <c r="I1880" s="1" t="s">
        <v>1975</v>
      </c>
      <c r="J1880" s="1" t="s">
        <v>5121</v>
      </c>
      <c r="K1880" s="1" t="n">
        <f aca="false">IF(Search!$D$5="",0,IF(AND(OR(Search!$N$5="",ISNUMBER(SEARCH(Search!$N$5,J1880))),OR(Search!$N$6="",ISNUMBER(SEARCH(Search!$N$6,J1880))),OR(Search!$N$7="",ISNUMBER(SEARCH(Search!$N$7,J1880))),OR(Search!$N$8="",ISNUMBER(SEARCH(Search!$N$8,J1880)))),1,0))</f>
        <v>0</v>
      </c>
      <c r="L1880" s="1" t="n">
        <f aca="false">L1879+K1880</f>
        <v>0</v>
      </c>
    </row>
    <row r="1881" customFormat="false" ht="15" hidden="false" customHeight="true" outlineLevel="0" collapsed="false">
      <c r="A1881" s="1" t="s">
        <v>325</v>
      </c>
      <c r="B1881" s="1" t="s">
        <v>4993</v>
      </c>
      <c r="C1881" s="1" t="n">
        <v>65</v>
      </c>
      <c r="E1881" s="1" t="s">
        <v>5122</v>
      </c>
      <c r="F1881" s="1" t="s">
        <v>5029</v>
      </c>
      <c r="G1881" s="1" t="s">
        <v>5120</v>
      </c>
      <c r="H1881" s="1" t="s">
        <v>5114</v>
      </c>
      <c r="I1881" s="1" t="s">
        <v>1959</v>
      </c>
      <c r="J1881" s="1" t="s">
        <v>5123</v>
      </c>
      <c r="K1881" s="1" t="n">
        <f aca="false">IF(Search!$D$5="",0,IF(AND(OR(Search!$N$5="",ISNUMBER(SEARCH(Search!$N$5,J1881))),OR(Search!$N$6="",ISNUMBER(SEARCH(Search!$N$6,J1881))),OR(Search!$N$7="",ISNUMBER(SEARCH(Search!$N$7,J1881))),OR(Search!$N$8="",ISNUMBER(SEARCH(Search!$N$8,J1881)))),1,0))</f>
        <v>0</v>
      </c>
      <c r="L1881" s="1" t="n">
        <f aca="false">L1880+K1881</f>
        <v>0</v>
      </c>
    </row>
    <row r="1882" customFormat="false" ht="15" hidden="false" customHeight="true" outlineLevel="0" collapsed="false">
      <c r="A1882" s="1" t="s">
        <v>325</v>
      </c>
      <c r="B1882" s="1" t="s">
        <v>4993</v>
      </c>
      <c r="C1882" s="1" t="n">
        <v>66</v>
      </c>
      <c r="E1882" s="1" t="s">
        <v>5124</v>
      </c>
      <c r="F1882" s="1" t="s">
        <v>5029</v>
      </c>
      <c r="G1882" s="1" t="s">
        <v>5120</v>
      </c>
      <c r="H1882" s="1" t="s">
        <v>5125</v>
      </c>
      <c r="I1882" s="1" t="s">
        <v>2699</v>
      </c>
      <c r="J1882" s="1" t="s">
        <v>5126</v>
      </c>
      <c r="K1882" s="1" t="n">
        <f aca="false">IF(Search!$D$5="",0,IF(AND(OR(Search!$N$5="",ISNUMBER(SEARCH(Search!$N$5,J1882))),OR(Search!$N$6="",ISNUMBER(SEARCH(Search!$N$6,J1882))),OR(Search!$N$7="",ISNUMBER(SEARCH(Search!$N$7,J1882))),OR(Search!$N$8="",ISNUMBER(SEARCH(Search!$N$8,J1882)))),1,0))</f>
        <v>0</v>
      </c>
      <c r="L1882" s="1" t="n">
        <f aca="false">L1881+K1882</f>
        <v>0</v>
      </c>
    </row>
    <row r="1883" customFormat="false" ht="15" hidden="false" customHeight="true" outlineLevel="0" collapsed="false">
      <c r="A1883" s="1" t="s">
        <v>325</v>
      </c>
      <c r="B1883" s="1" t="s">
        <v>4993</v>
      </c>
      <c r="C1883" s="1" t="n">
        <v>67</v>
      </c>
      <c r="E1883" s="1" t="s">
        <v>5127</v>
      </c>
      <c r="F1883" s="1" t="s">
        <v>5029</v>
      </c>
      <c r="G1883" s="1" t="s">
        <v>5120</v>
      </c>
      <c r="H1883" s="1" t="s">
        <v>5128</v>
      </c>
      <c r="I1883" s="1" t="s">
        <v>2717</v>
      </c>
      <c r="J1883" s="1" t="s">
        <v>5129</v>
      </c>
      <c r="K1883" s="1" t="n">
        <f aca="false">IF(Search!$D$5="",0,IF(AND(OR(Search!$N$5="",ISNUMBER(SEARCH(Search!$N$5,J1883))),OR(Search!$N$6="",ISNUMBER(SEARCH(Search!$N$6,J1883))),OR(Search!$N$7="",ISNUMBER(SEARCH(Search!$N$7,J1883))),OR(Search!$N$8="",ISNUMBER(SEARCH(Search!$N$8,J1883)))),1,0))</f>
        <v>0</v>
      </c>
      <c r="L1883" s="1" t="n">
        <f aca="false">L1882+K1883</f>
        <v>0</v>
      </c>
    </row>
    <row r="1884" customFormat="false" ht="15" hidden="false" customHeight="true" outlineLevel="0" collapsed="false">
      <c r="A1884" s="1" t="s">
        <v>325</v>
      </c>
      <c r="B1884" s="1" t="s">
        <v>4993</v>
      </c>
      <c r="C1884" s="1" t="n">
        <v>68</v>
      </c>
      <c r="E1884" s="1" t="s">
        <v>5130</v>
      </c>
      <c r="F1884" s="1" t="s">
        <v>5031</v>
      </c>
      <c r="G1884" s="1" t="s">
        <v>5131</v>
      </c>
      <c r="H1884" s="1" t="s">
        <v>745</v>
      </c>
      <c r="I1884" s="1" t="s">
        <v>2168</v>
      </c>
      <c r="J1884" s="1" t="s">
        <v>5132</v>
      </c>
      <c r="K1884" s="1" t="n">
        <f aca="false">IF(Search!$D$5="",0,IF(AND(OR(Search!$N$5="",ISNUMBER(SEARCH(Search!$N$5,J1884))),OR(Search!$N$6="",ISNUMBER(SEARCH(Search!$N$6,J1884))),OR(Search!$N$7="",ISNUMBER(SEARCH(Search!$N$7,J1884))),OR(Search!$N$8="",ISNUMBER(SEARCH(Search!$N$8,J1884)))),1,0))</f>
        <v>0</v>
      </c>
      <c r="L1884" s="1" t="n">
        <f aca="false">L1883+K1884</f>
        <v>0</v>
      </c>
    </row>
    <row r="1885" customFormat="false" ht="15" hidden="false" customHeight="true" outlineLevel="0" collapsed="false">
      <c r="A1885" s="1" t="s">
        <v>325</v>
      </c>
      <c r="B1885" s="1" t="s">
        <v>4993</v>
      </c>
      <c r="C1885" s="1" t="n">
        <v>69</v>
      </c>
      <c r="E1885" s="1" t="s">
        <v>5133</v>
      </c>
      <c r="F1885" s="1" t="s">
        <v>5031</v>
      </c>
      <c r="G1885" s="1" t="s">
        <v>5131</v>
      </c>
      <c r="H1885" s="1" t="s">
        <v>3856</v>
      </c>
      <c r="I1885" s="1" t="s">
        <v>2699</v>
      </c>
      <c r="J1885" s="1" t="s">
        <v>5134</v>
      </c>
      <c r="K1885" s="1" t="n">
        <f aca="false">IF(Search!$D$5="",0,IF(AND(OR(Search!$N$5="",ISNUMBER(SEARCH(Search!$N$5,J1885))),OR(Search!$N$6="",ISNUMBER(SEARCH(Search!$N$6,J1885))),OR(Search!$N$7="",ISNUMBER(SEARCH(Search!$N$7,J1885))),OR(Search!$N$8="",ISNUMBER(SEARCH(Search!$N$8,J1885)))),1,0))</f>
        <v>0</v>
      </c>
      <c r="L1885" s="1" t="n">
        <f aca="false">L1884+K1885</f>
        <v>0</v>
      </c>
    </row>
    <row r="1886" customFormat="false" ht="15" hidden="false" customHeight="true" outlineLevel="0" collapsed="false">
      <c r="A1886" s="1" t="s">
        <v>325</v>
      </c>
      <c r="B1886" s="1" t="s">
        <v>4993</v>
      </c>
      <c r="C1886" s="1" t="n">
        <v>70</v>
      </c>
      <c r="E1886" s="1" t="s">
        <v>5135</v>
      </c>
      <c r="F1886" s="1" t="s">
        <v>5031</v>
      </c>
      <c r="G1886" s="1" t="s">
        <v>5131</v>
      </c>
      <c r="H1886" s="1" t="s">
        <v>716</v>
      </c>
      <c r="I1886" s="1" t="s">
        <v>2717</v>
      </c>
      <c r="J1886" s="1" t="s">
        <v>5136</v>
      </c>
      <c r="K1886" s="1" t="n">
        <f aca="false">IF(Search!$D$5="",0,IF(AND(OR(Search!$N$5="",ISNUMBER(SEARCH(Search!$N$5,J1886))),OR(Search!$N$6="",ISNUMBER(SEARCH(Search!$N$6,J1886))),OR(Search!$N$7="",ISNUMBER(SEARCH(Search!$N$7,J1886))),OR(Search!$N$8="",ISNUMBER(SEARCH(Search!$N$8,J1886)))),1,0))</f>
        <v>0</v>
      </c>
      <c r="L1886" s="1" t="n">
        <f aca="false">L1885+K1886</f>
        <v>0</v>
      </c>
    </row>
    <row r="1887" customFormat="false" ht="15" hidden="false" customHeight="true" outlineLevel="0" collapsed="false">
      <c r="A1887" s="1" t="s">
        <v>325</v>
      </c>
      <c r="B1887" s="1" t="s">
        <v>4993</v>
      </c>
      <c r="C1887" s="1" t="n">
        <v>71</v>
      </c>
      <c r="E1887" s="1" t="s">
        <v>5137</v>
      </c>
      <c r="F1887" s="1" t="s">
        <v>5031</v>
      </c>
      <c r="G1887" s="1" t="s">
        <v>5131</v>
      </c>
      <c r="H1887" s="1" t="s">
        <v>5138</v>
      </c>
      <c r="I1887" s="1" t="s">
        <v>712</v>
      </c>
      <c r="J1887" s="1" t="s">
        <v>5139</v>
      </c>
      <c r="K1887" s="1" t="n">
        <f aca="false">IF(Search!$D$5="",0,IF(AND(OR(Search!$N$5="",ISNUMBER(SEARCH(Search!$N$5,J1887))),OR(Search!$N$6="",ISNUMBER(SEARCH(Search!$N$6,J1887))),OR(Search!$N$7="",ISNUMBER(SEARCH(Search!$N$7,J1887))),OR(Search!$N$8="",ISNUMBER(SEARCH(Search!$N$8,J1887)))),1,0))</f>
        <v>0</v>
      </c>
      <c r="L1887" s="1" t="n">
        <f aca="false">L1886+K1887</f>
        <v>0</v>
      </c>
    </row>
    <row r="1888" customFormat="false" ht="15" hidden="false" customHeight="true" outlineLevel="0" collapsed="false">
      <c r="A1888" s="1" t="s">
        <v>325</v>
      </c>
      <c r="B1888" s="1" t="s">
        <v>4993</v>
      </c>
      <c r="C1888" s="1" t="n">
        <v>72</v>
      </c>
      <c r="E1888" s="1" t="s">
        <v>5140</v>
      </c>
      <c r="F1888" s="1" t="s">
        <v>5033</v>
      </c>
      <c r="G1888" s="1" t="s">
        <v>5141</v>
      </c>
      <c r="H1888" s="1" t="s">
        <v>5142</v>
      </c>
      <c r="I1888" s="1" t="s">
        <v>1959</v>
      </c>
      <c r="J1888" s="1" t="s">
        <v>5143</v>
      </c>
      <c r="K1888" s="1" t="n">
        <f aca="false">IF(Search!$D$5="",0,IF(AND(OR(Search!$N$5="",ISNUMBER(SEARCH(Search!$N$5,J1888))),OR(Search!$N$6="",ISNUMBER(SEARCH(Search!$N$6,J1888))),OR(Search!$N$7="",ISNUMBER(SEARCH(Search!$N$7,J1888))),OR(Search!$N$8="",ISNUMBER(SEARCH(Search!$N$8,J1888)))),1,0))</f>
        <v>0</v>
      </c>
      <c r="L1888" s="1" t="n">
        <f aca="false">L1887+K1888</f>
        <v>0</v>
      </c>
    </row>
    <row r="1889" customFormat="false" ht="15" hidden="false" customHeight="true" outlineLevel="0" collapsed="false">
      <c r="A1889" s="1" t="s">
        <v>325</v>
      </c>
      <c r="B1889" s="1" t="s">
        <v>4993</v>
      </c>
      <c r="C1889" s="1" t="n">
        <v>73</v>
      </c>
      <c r="E1889" s="1" t="s">
        <v>5144</v>
      </c>
      <c r="F1889" s="1" t="s">
        <v>5033</v>
      </c>
      <c r="G1889" s="1" t="s">
        <v>5141</v>
      </c>
      <c r="H1889" s="1" t="s">
        <v>5145</v>
      </c>
      <c r="I1889" s="1" t="s">
        <v>3220</v>
      </c>
      <c r="J1889" s="1" t="s">
        <v>5146</v>
      </c>
      <c r="K1889" s="1" t="n">
        <f aca="false">IF(Search!$D$5="",0,IF(AND(OR(Search!$N$5="",ISNUMBER(SEARCH(Search!$N$5,J1889))),OR(Search!$N$6="",ISNUMBER(SEARCH(Search!$N$6,J1889))),OR(Search!$N$7="",ISNUMBER(SEARCH(Search!$N$7,J1889))),OR(Search!$N$8="",ISNUMBER(SEARCH(Search!$N$8,J1889)))),1,0))</f>
        <v>0</v>
      </c>
      <c r="L1889" s="1" t="n">
        <f aca="false">L1888+K1889</f>
        <v>0</v>
      </c>
    </row>
    <row r="1890" customFormat="false" ht="15" hidden="false" customHeight="true" outlineLevel="0" collapsed="false">
      <c r="A1890" s="1" t="s">
        <v>325</v>
      </c>
      <c r="B1890" s="1" t="s">
        <v>4993</v>
      </c>
      <c r="C1890" s="1" t="n">
        <v>74</v>
      </c>
      <c r="E1890" s="1" t="s">
        <v>5147</v>
      </c>
      <c r="F1890" s="1" t="s">
        <v>5033</v>
      </c>
      <c r="G1890" s="1" t="s">
        <v>5141</v>
      </c>
      <c r="H1890" s="1" t="s">
        <v>5148</v>
      </c>
      <c r="I1890" s="1" t="s">
        <v>3721</v>
      </c>
      <c r="J1890" s="1" t="s">
        <v>5149</v>
      </c>
      <c r="K1890" s="1" t="n">
        <f aca="false">IF(Search!$D$5="",0,IF(AND(OR(Search!$N$5="",ISNUMBER(SEARCH(Search!$N$5,J1890))),OR(Search!$N$6="",ISNUMBER(SEARCH(Search!$N$6,J1890))),OR(Search!$N$7="",ISNUMBER(SEARCH(Search!$N$7,J1890))),OR(Search!$N$8="",ISNUMBER(SEARCH(Search!$N$8,J1890)))),1,0))</f>
        <v>0</v>
      </c>
      <c r="L1890" s="1" t="n">
        <f aca="false">L1889+K1890</f>
        <v>0</v>
      </c>
    </row>
    <row r="1891" customFormat="false" ht="15" hidden="false" customHeight="true" outlineLevel="0" collapsed="false">
      <c r="A1891" s="1" t="s">
        <v>325</v>
      </c>
      <c r="B1891" s="1" t="s">
        <v>4993</v>
      </c>
      <c r="C1891" s="1" t="n">
        <v>76</v>
      </c>
      <c r="E1891" s="1" t="s">
        <v>5150</v>
      </c>
      <c r="J1891" s="1" t="s">
        <v>5150</v>
      </c>
      <c r="K1891" s="1" t="n">
        <f aca="false">IF(Search!$D$5="",0,IF(AND(OR(Search!$N$5="",ISNUMBER(SEARCH(Search!$N$5,J1891))),OR(Search!$N$6="",ISNUMBER(SEARCH(Search!$N$6,J1891))),OR(Search!$N$7="",ISNUMBER(SEARCH(Search!$N$7,J1891))),OR(Search!$N$8="",ISNUMBER(SEARCH(Search!$N$8,J1891)))),1,0))</f>
        <v>0</v>
      </c>
      <c r="L1891" s="1" t="n">
        <f aca="false">L1890+K1891</f>
        <v>0</v>
      </c>
    </row>
    <row r="1892" customFormat="false" ht="15" hidden="false" customHeight="true" outlineLevel="0" collapsed="false">
      <c r="A1892" s="1" t="s">
        <v>325</v>
      </c>
      <c r="B1892" s="1" t="s">
        <v>4993</v>
      </c>
      <c r="C1892" s="1" t="n">
        <v>77</v>
      </c>
      <c r="E1892" s="1" t="s">
        <v>5151</v>
      </c>
      <c r="J1892" s="1" t="s">
        <v>5151</v>
      </c>
      <c r="K1892" s="1" t="n">
        <f aca="false">IF(Search!$D$5="",0,IF(AND(OR(Search!$N$5="",ISNUMBER(SEARCH(Search!$N$5,J1892))),OR(Search!$N$6="",ISNUMBER(SEARCH(Search!$N$6,J1892))),OR(Search!$N$7="",ISNUMBER(SEARCH(Search!$N$7,J1892))),OR(Search!$N$8="",ISNUMBER(SEARCH(Search!$N$8,J1892)))),1,0))</f>
        <v>0</v>
      </c>
      <c r="L1892" s="1" t="n">
        <f aca="false">L1891+K1892</f>
        <v>0</v>
      </c>
    </row>
    <row r="1893" customFormat="false" ht="15" hidden="false" customHeight="true" outlineLevel="0" collapsed="false">
      <c r="A1893" s="1" t="s">
        <v>325</v>
      </c>
      <c r="B1893" s="1" t="s">
        <v>4993</v>
      </c>
      <c r="C1893" s="1" t="n">
        <v>78</v>
      </c>
      <c r="E1893" s="1" t="s">
        <v>5152</v>
      </c>
      <c r="J1893" s="1" t="s">
        <v>5152</v>
      </c>
      <c r="K1893" s="1" t="n">
        <f aca="false">IF(Search!$D$5="",0,IF(AND(OR(Search!$N$5="",ISNUMBER(SEARCH(Search!$N$5,J1893))),OR(Search!$N$6="",ISNUMBER(SEARCH(Search!$N$6,J1893))),OR(Search!$N$7="",ISNUMBER(SEARCH(Search!$N$7,J1893))),OR(Search!$N$8="",ISNUMBER(SEARCH(Search!$N$8,J1893)))),1,0))</f>
        <v>0</v>
      </c>
      <c r="L1893" s="1" t="n">
        <f aca="false">L1892+K1893</f>
        <v>0</v>
      </c>
    </row>
    <row r="1894" customFormat="false" ht="15" hidden="false" customHeight="true" outlineLevel="0" collapsed="false">
      <c r="A1894" s="1" t="s">
        <v>325</v>
      </c>
      <c r="B1894" s="1" t="s">
        <v>4993</v>
      </c>
      <c r="C1894" s="1" t="n">
        <v>79</v>
      </c>
      <c r="E1894" s="1" t="s">
        <v>5153</v>
      </c>
      <c r="J1894" s="1" t="s">
        <v>5153</v>
      </c>
      <c r="K1894" s="1" t="n">
        <f aca="false">IF(Search!$D$5="",0,IF(AND(OR(Search!$N$5="",ISNUMBER(SEARCH(Search!$N$5,J1894))),OR(Search!$N$6="",ISNUMBER(SEARCH(Search!$N$6,J1894))),OR(Search!$N$7="",ISNUMBER(SEARCH(Search!$N$7,J1894))),OR(Search!$N$8="",ISNUMBER(SEARCH(Search!$N$8,J1894)))),1,0))</f>
        <v>0</v>
      </c>
      <c r="L1894" s="1" t="n">
        <f aca="false">L1893+K1894</f>
        <v>0</v>
      </c>
    </row>
    <row r="1895" customFormat="false" ht="15" hidden="false" customHeight="true" outlineLevel="0" collapsed="false">
      <c r="A1895" s="1" t="s">
        <v>325</v>
      </c>
      <c r="B1895" s="1" t="s">
        <v>4993</v>
      </c>
      <c r="C1895" s="1" t="n">
        <v>80</v>
      </c>
      <c r="E1895" s="1" t="s">
        <v>5154</v>
      </c>
      <c r="J1895" s="1" t="s">
        <v>5154</v>
      </c>
      <c r="K1895" s="1" t="n">
        <f aca="false">IF(Search!$D$5="",0,IF(AND(OR(Search!$N$5="",ISNUMBER(SEARCH(Search!$N$5,J1895))),OR(Search!$N$6="",ISNUMBER(SEARCH(Search!$N$6,J1895))),OR(Search!$N$7="",ISNUMBER(SEARCH(Search!$N$7,J1895))),OR(Search!$N$8="",ISNUMBER(SEARCH(Search!$N$8,J1895)))),1,0))</f>
        <v>0</v>
      </c>
      <c r="L1895" s="1" t="n">
        <f aca="false">L1894+K1895</f>
        <v>0</v>
      </c>
    </row>
    <row r="1896" customFormat="false" ht="15" hidden="false" customHeight="true" outlineLevel="0" collapsed="false">
      <c r="A1896" s="1" t="s">
        <v>325</v>
      </c>
      <c r="B1896" s="1" t="s">
        <v>4993</v>
      </c>
      <c r="C1896" s="1" t="n">
        <v>81</v>
      </c>
      <c r="E1896" s="1" t="s">
        <v>5155</v>
      </c>
      <c r="J1896" s="1" t="s">
        <v>5155</v>
      </c>
      <c r="K1896" s="1" t="n">
        <f aca="false">IF(Search!$D$5="",0,IF(AND(OR(Search!$N$5="",ISNUMBER(SEARCH(Search!$N$5,J1896))),OR(Search!$N$6="",ISNUMBER(SEARCH(Search!$N$6,J1896))),OR(Search!$N$7="",ISNUMBER(SEARCH(Search!$N$7,J1896))),OR(Search!$N$8="",ISNUMBER(SEARCH(Search!$N$8,J1896)))),1,0))</f>
        <v>0</v>
      </c>
      <c r="L1896" s="1" t="n">
        <f aca="false">L1895+K1896</f>
        <v>0</v>
      </c>
    </row>
    <row r="1897" customFormat="false" ht="15" hidden="false" customHeight="true" outlineLevel="0" collapsed="false">
      <c r="A1897" s="1" t="s">
        <v>325</v>
      </c>
      <c r="B1897" s="1" t="s">
        <v>4993</v>
      </c>
      <c r="C1897" s="1" t="n">
        <v>82</v>
      </c>
      <c r="E1897" s="1" t="s">
        <v>5156</v>
      </c>
      <c r="J1897" s="1" t="s">
        <v>5156</v>
      </c>
      <c r="K1897" s="1" t="n">
        <f aca="false">IF(Search!$D$5="",0,IF(AND(OR(Search!$N$5="",ISNUMBER(SEARCH(Search!$N$5,J1897))),OR(Search!$N$6="",ISNUMBER(SEARCH(Search!$N$6,J1897))),OR(Search!$N$7="",ISNUMBER(SEARCH(Search!$N$7,J1897))),OR(Search!$N$8="",ISNUMBER(SEARCH(Search!$N$8,J1897)))),1,0))</f>
        <v>0</v>
      </c>
      <c r="L1897" s="1" t="n">
        <f aca="false">L1896+K1897</f>
        <v>0</v>
      </c>
    </row>
    <row r="1898" customFormat="false" ht="15" hidden="false" customHeight="true" outlineLevel="0" collapsed="false">
      <c r="A1898" s="1" t="s">
        <v>325</v>
      </c>
      <c r="B1898" s="1" t="s">
        <v>4993</v>
      </c>
      <c r="C1898" s="1" t="n">
        <v>84</v>
      </c>
      <c r="E1898" s="1" t="s">
        <v>5157</v>
      </c>
      <c r="J1898" s="1" t="s">
        <v>5157</v>
      </c>
      <c r="K1898" s="1" t="n">
        <f aca="false">IF(Search!$D$5="",0,IF(AND(OR(Search!$N$5="",ISNUMBER(SEARCH(Search!$N$5,J1898))),OR(Search!$N$6="",ISNUMBER(SEARCH(Search!$N$6,J1898))),OR(Search!$N$7="",ISNUMBER(SEARCH(Search!$N$7,J1898))),OR(Search!$N$8="",ISNUMBER(SEARCH(Search!$N$8,J1898)))),1,0))</f>
        <v>0</v>
      </c>
      <c r="L1898" s="1" t="n">
        <f aca="false">L1897+K1898</f>
        <v>0</v>
      </c>
    </row>
    <row r="1899" customFormat="false" ht="15" hidden="false" customHeight="true" outlineLevel="0" collapsed="false">
      <c r="A1899" s="1" t="s">
        <v>328</v>
      </c>
      <c r="B1899" s="1" t="s">
        <v>4993</v>
      </c>
      <c r="C1899" s="1" t="n">
        <v>2</v>
      </c>
      <c r="E1899" s="1" t="s">
        <v>5158</v>
      </c>
      <c r="J1899" s="1" t="s">
        <v>5158</v>
      </c>
      <c r="K1899" s="1" t="n">
        <f aca="false">IF(Search!$D$5="",0,IF(AND(OR(Search!$N$5="",ISNUMBER(SEARCH(Search!$N$5,J1899))),OR(Search!$N$6="",ISNUMBER(SEARCH(Search!$N$6,J1899))),OR(Search!$N$7="",ISNUMBER(SEARCH(Search!$N$7,J1899))),OR(Search!$N$8="",ISNUMBER(SEARCH(Search!$N$8,J1899)))),1,0))</f>
        <v>0</v>
      </c>
      <c r="L1899" s="1" t="n">
        <f aca="false">L1898+K1899</f>
        <v>0</v>
      </c>
    </row>
    <row r="1900" customFormat="false" ht="15" hidden="false" customHeight="true" outlineLevel="0" collapsed="false">
      <c r="A1900" s="1" t="s">
        <v>328</v>
      </c>
      <c r="B1900" s="1" t="s">
        <v>4993</v>
      </c>
      <c r="C1900" s="1" t="n">
        <v>3</v>
      </c>
      <c r="E1900" s="1" t="s">
        <v>5159</v>
      </c>
      <c r="J1900" s="1" t="s">
        <v>5159</v>
      </c>
      <c r="K1900" s="1" t="n">
        <f aca="false">IF(Search!$D$5="",0,IF(AND(OR(Search!$N$5="",ISNUMBER(SEARCH(Search!$N$5,J1900))),OR(Search!$N$6="",ISNUMBER(SEARCH(Search!$N$6,J1900))),OR(Search!$N$7="",ISNUMBER(SEARCH(Search!$N$7,J1900))),OR(Search!$N$8="",ISNUMBER(SEARCH(Search!$N$8,J1900)))),1,0))</f>
        <v>0</v>
      </c>
      <c r="L1900" s="1" t="n">
        <f aca="false">L1899+K1900</f>
        <v>0</v>
      </c>
    </row>
    <row r="1901" customFormat="false" ht="15" hidden="false" customHeight="true" outlineLevel="0" collapsed="false">
      <c r="A1901" s="1" t="s">
        <v>328</v>
      </c>
      <c r="B1901" s="1" t="s">
        <v>4993</v>
      </c>
      <c r="C1901" s="1" t="n">
        <v>4</v>
      </c>
      <c r="E1901" s="1" t="s">
        <v>5160</v>
      </c>
      <c r="J1901" s="1" t="s">
        <v>5160</v>
      </c>
      <c r="K1901" s="1" t="n">
        <f aca="false">IF(Search!$D$5="",0,IF(AND(OR(Search!$N$5="",ISNUMBER(SEARCH(Search!$N$5,J1901))),OR(Search!$N$6="",ISNUMBER(SEARCH(Search!$N$6,J1901))),OR(Search!$N$7="",ISNUMBER(SEARCH(Search!$N$7,J1901))),OR(Search!$N$8="",ISNUMBER(SEARCH(Search!$N$8,J1901)))),1,0))</f>
        <v>0</v>
      </c>
      <c r="L1901" s="1" t="n">
        <f aca="false">L1900+K1901</f>
        <v>0</v>
      </c>
    </row>
    <row r="1902" customFormat="false" ht="15" hidden="false" customHeight="true" outlineLevel="0" collapsed="false">
      <c r="A1902" s="1" t="s">
        <v>328</v>
      </c>
      <c r="B1902" s="1" t="s">
        <v>4993</v>
      </c>
      <c r="C1902" s="1" t="n">
        <v>6</v>
      </c>
      <c r="E1902" s="1" t="s">
        <v>4997</v>
      </c>
      <c r="J1902" s="1" t="s">
        <v>4997</v>
      </c>
      <c r="K1902" s="1" t="n">
        <f aca="false">IF(Search!$D$5="",0,IF(AND(OR(Search!$N$5="",ISNUMBER(SEARCH(Search!$N$5,J1902))),OR(Search!$N$6="",ISNUMBER(SEARCH(Search!$N$6,J1902))),OR(Search!$N$7="",ISNUMBER(SEARCH(Search!$N$7,J1902))),OR(Search!$N$8="",ISNUMBER(SEARCH(Search!$N$8,J1902)))),1,0))</f>
        <v>0</v>
      </c>
      <c r="L1902" s="1" t="n">
        <f aca="false">L1901+K1902</f>
        <v>0</v>
      </c>
    </row>
    <row r="1903" customFormat="false" ht="15" hidden="false" customHeight="true" outlineLevel="0" collapsed="false">
      <c r="A1903" s="1" t="s">
        <v>328</v>
      </c>
      <c r="B1903" s="1" t="s">
        <v>4993</v>
      </c>
      <c r="C1903" s="1" t="n">
        <v>7</v>
      </c>
      <c r="E1903" s="1" t="s">
        <v>4523</v>
      </c>
      <c r="F1903" s="1" t="s">
        <v>4998</v>
      </c>
      <c r="G1903" s="1" t="s">
        <v>4999</v>
      </c>
      <c r="H1903" s="1" t="s">
        <v>5000</v>
      </c>
      <c r="J1903" s="1" t="s">
        <v>5001</v>
      </c>
      <c r="K1903" s="1" t="n">
        <f aca="false">IF(Search!$D$5="",0,IF(AND(OR(Search!$N$5="",ISNUMBER(SEARCH(Search!$N$5,J1903))),OR(Search!$N$6="",ISNUMBER(SEARCH(Search!$N$6,J1903))),OR(Search!$N$7="",ISNUMBER(SEARCH(Search!$N$7,J1903))),OR(Search!$N$8="",ISNUMBER(SEARCH(Search!$N$8,J1903)))),1,0))</f>
        <v>0</v>
      </c>
      <c r="L1903" s="1" t="n">
        <f aca="false">L1902+K1903</f>
        <v>0</v>
      </c>
    </row>
    <row r="1904" customFormat="false" ht="15" hidden="false" customHeight="true" outlineLevel="0" collapsed="false">
      <c r="A1904" s="1" t="s">
        <v>328</v>
      </c>
      <c r="B1904" s="1" t="s">
        <v>4993</v>
      </c>
      <c r="C1904" s="1" t="n">
        <v>8</v>
      </c>
      <c r="E1904" s="1" t="s">
        <v>5002</v>
      </c>
      <c r="F1904" s="1" t="s">
        <v>5161</v>
      </c>
      <c r="G1904" s="1" t="s">
        <v>5004</v>
      </c>
      <c r="H1904" s="1" t="s">
        <v>5005</v>
      </c>
      <c r="J1904" s="1" t="s">
        <v>5162</v>
      </c>
      <c r="K1904" s="1" t="n">
        <f aca="false">IF(Search!$D$5="",0,IF(AND(OR(Search!$N$5="",ISNUMBER(SEARCH(Search!$N$5,J1904))),OR(Search!$N$6="",ISNUMBER(SEARCH(Search!$N$6,J1904))),OR(Search!$N$7="",ISNUMBER(SEARCH(Search!$N$7,J1904))),OR(Search!$N$8="",ISNUMBER(SEARCH(Search!$N$8,J1904)))),1,0))</f>
        <v>0</v>
      </c>
      <c r="L1904" s="1" t="n">
        <f aca="false">L1903+K1904</f>
        <v>0</v>
      </c>
    </row>
    <row r="1905" customFormat="false" ht="15" hidden="false" customHeight="true" outlineLevel="0" collapsed="false">
      <c r="A1905" s="1" t="s">
        <v>328</v>
      </c>
      <c r="B1905" s="1" t="s">
        <v>4993</v>
      </c>
      <c r="C1905" s="1" t="n">
        <v>9</v>
      </c>
      <c r="E1905" s="1" t="s">
        <v>5007</v>
      </c>
      <c r="F1905" s="1" t="s">
        <v>5163</v>
      </c>
      <c r="G1905" s="1" t="s">
        <v>5009</v>
      </c>
      <c r="H1905" s="1" t="s">
        <v>5164</v>
      </c>
      <c r="J1905" s="1" t="s">
        <v>5165</v>
      </c>
      <c r="K1905" s="1" t="n">
        <f aca="false">IF(Search!$D$5="",0,IF(AND(OR(Search!$N$5="",ISNUMBER(SEARCH(Search!$N$5,J1905))),OR(Search!$N$6="",ISNUMBER(SEARCH(Search!$N$6,J1905))),OR(Search!$N$7="",ISNUMBER(SEARCH(Search!$N$7,J1905))),OR(Search!$N$8="",ISNUMBER(SEARCH(Search!$N$8,J1905)))),1,0))</f>
        <v>0</v>
      </c>
      <c r="L1905" s="1" t="n">
        <f aca="false">L1904+K1905</f>
        <v>0</v>
      </c>
    </row>
    <row r="1906" customFormat="false" ht="15" hidden="false" customHeight="true" outlineLevel="0" collapsed="false">
      <c r="A1906" s="1" t="s">
        <v>328</v>
      </c>
      <c r="B1906" s="1" t="s">
        <v>4993</v>
      </c>
      <c r="C1906" s="1" t="n">
        <v>10</v>
      </c>
      <c r="E1906" s="1" t="s">
        <v>5166</v>
      </c>
      <c r="F1906" s="1" t="s">
        <v>5167</v>
      </c>
      <c r="G1906" s="1" t="s">
        <v>5009</v>
      </c>
      <c r="H1906" s="1" t="s">
        <v>5168</v>
      </c>
      <c r="J1906" s="1" t="s">
        <v>5169</v>
      </c>
      <c r="K1906" s="1" t="n">
        <f aca="false">IF(Search!$D$5="",0,IF(AND(OR(Search!$N$5="",ISNUMBER(SEARCH(Search!$N$5,J1906))),OR(Search!$N$6="",ISNUMBER(SEARCH(Search!$N$6,J1906))),OR(Search!$N$7="",ISNUMBER(SEARCH(Search!$N$7,J1906))),OR(Search!$N$8="",ISNUMBER(SEARCH(Search!$N$8,J1906)))),1,0))</f>
        <v>0</v>
      </c>
      <c r="L1906" s="1" t="n">
        <f aca="false">L1905+K1906</f>
        <v>0</v>
      </c>
    </row>
    <row r="1907" customFormat="false" ht="15" hidden="false" customHeight="true" outlineLevel="0" collapsed="false">
      <c r="A1907" s="1" t="s">
        <v>328</v>
      </c>
      <c r="B1907" s="1" t="s">
        <v>4993</v>
      </c>
      <c r="C1907" s="1" t="n">
        <v>11</v>
      </c>
      <c r="E1907" s="1" t="s">
        <v>5170</v>
      </c>
      <c r="F1907" s="1" t="s">
        <v>5171</v>
      </c>
      <c r="G1907" s="1" t="s">
        <v>5172</v>
      </c>
      <c r="H1907" s="1" t="s">
        <v>5173</v>
      </c>
      <c r="J1907" s="1" t="s">
        <v>5174</v>
      </c>
      <c r="K1907" s="1" t="n">
        <f aca="false">IF(Search!$D$5="",0,IF(AND(OR(Search!$N$5="",ISNUMBER(SEARCH(Search!$N$5,J1907))),OR(Search!$N$6="",ISNUMBER(SEARCH(Search!$N$6,J1907))),OR(Search!$N$7="",ISNUMBER(SEARCH(Search!$N$7,J1907))),OR(Search!$N$8="",ISNUMBER(SEARCH(Search!$N$8,J1907)))),1,0))</f>
        <v>0</v>
      </c>
      <c r="L1907" s="1" t="n">
        <f aca="false">L1906+K1907</f>
        <v>0</v>
      </c>
    </row>
    <row r="1908" customFormat="false" ht="15" hidden="false" customHeight="true" outlineLevel="0" collapsed="false">
      <c r="A1908" s="1" t="s">
        <v>328</v>
      </c>
      <c r="B1908" s="1" t="s">
        <v>4993</v>
      </c>
      <c r="C1908" s="1" t="n">
        <v>13</v>
      </c>
      <c r="E1908" s="1" t="s">
        <v>5175</v>
      </c>
      <c r="J1908" s="1" t="s">
        <v>5175</v>
      </c>
      <c r="K1908" s="1" t="n">
        <f aca="false">IF(Search!$D$5="",0,IF(AND(OR(Search!$N$5="",ISNUMBER(SEARCH(Search!$N$5,J1908))),OR(Search!$N$6="",ISNUMBER(SEARCH(Search!$N$6,J1908))),OR(Search!$N$7="",ISNUMBER(SEARCH(Search!$N$7,J1908))),OR(Search!$N$8="",ISNUMBER(SEARCH(Search!$N$8,J1908)))),1,0))</f>
        <v>0</v>
      </c>
      <c r="L1908" s="1" t="n">
        <f aca="false">L1907+K1908</f>
        <v>0</v>
      </c>
    </row>
    <row r="1909" customFormat="false" ht="68.25" hidden="false" customHeight="true" outlineLevel="0" collapsed="false">
      <c r="A1909" s="1" t="s">
        <v>328</v>
      </c>
      <c r="B1909" s="1" t="s">
        <v>4993</v>
      </c>
      <c r="C1909" s="1" t="n">
        <v>14</v>
      </c>
      <c r="E1909" s="1" t="s">
        <v>5017</v>
      </c>
      <c r="F1909" s="46" t="s">
        <v>5018</v>
      </c>
      <c r="G1909" s="46" t="s">
        <v>5176</v>
      </c>
      <c r="H1909" s="46" t="s">
        <v>5177</v>
      </c>
      <c r="I1909" s="46" t="s">
        <v>5078</v>
      </c>
      <c r="J1909" s="46" t="s">
        <v>5178</v>
      </c>
      <c r="K1909" s="1" t="n">
        <f aca="false">IF(Search!$D$5="",0,IF(AND(OR(Search!$N$5="",ISNUMBER(SEARCH(Search!$N$5,J1909))),OR(Search!$N$6="",ISNUMBER(SEARCH(Search!$N$6,J1909))),OR(Search!$N$7="",ISNUMBER(SEARCH(Search!$N$7,J1909))),OR(Search!$N$8="",ISNUMBER(SEARCH(Search!$N$8,J1909)))),1,0))</f>
        <v>0</v>
      </c>
      <c r="L1909" s="1" t="n">
        <f aca="false">L1908+K1909</f>
        <v>0</v>
      </c>
    </row>
    <row r="1910" customFormat="false" ht="15" hidden="false" customHeight="true" outlineLevel="0" collapsed="false">
      <c r="A1910" s="1" t="s">
        <v>328</v>
      </c>
      <c r="B1910" s="1" t="s">
        <v>4993</v>
      </c>
      <c r="C1910" s="1" t="n">
        <v>15</v>
      </c>
      <c r="E1910" s="1" t="s">
        <v>5023</v>
      </c>
      <c r="F1910" s="1" t="s">
        <v>1838</v>
      </c>
      <c r="G1910" s="1" t="s">
        <v>2168</v>
      </c>
      <c r="H1910" s="1" t="s">
        <v>2391</v>
      </c>
      <c r="I1910" s="1" t="s">
        <v>2710</v>
      </c>
      <c r="J1910" s="1" t="s">
        <v>5179</v>
      </c>
      <c r="K1910" s="1" t="n">
        <f aca="false">IF(Search!$D$5="",0,IF(AND(OR(Search!$N$5="",ISNUMBER(SEARCH(Search!$N$5,J1910))),OR(Search!$N$6="",ISNUMBER(SEARCH(Search!$N$6,J1910))),OR(Search!$N$7="",ISNUMBER(SEARCH(Search!$N$7,J1910))),OR(Search!$N$8="",ISNUMBER(SEARCH(Search!$N$8,J1910)))),1,0))</f>
        <v>0</v>
      </c>
      <c r="L1910" s="1" t="n">
        <f aca="false">L1909+K1910</f>
        <v>0</v>
      </c>
    </row>
    <row r="1911" customFormat="false" ht="15" hidden="false" customHeight="true" outlineLevel="0" collapsed="false">
      <c r="A1911" s="1" t="s">
        <v>328</v>
      </c>
      <c r="B1911" s="1" t="s">
        <v>4993</v>
      </c>
      <c r="C1911" s="1" t="n">
        <v>16</v>
      </c>
      <c r="E1911" s="1" t="s">
        <v>5025</v>
      </c>
      <c r="F1911" s="1" t="s">
        <v>1904</v>
      </c>
      <c r="G1911" s="1" t="s">
        <v>2187</v>
      </c>
      <c r="H1911" s="1" t="s">
        <v>2062</v>
      </c>
      <c r="I1911" s="1" t="s">
        <v>2717</v>
      </c>
      <c r="J1911" s="1" t="s">
        <v>5180</v>
      </c>
      <c r="K1911" s="1" t="n">
        <f aca="false">IF(Search!$D$5="",0,IF(AND(OR(Search!$N$5="",ISNUMBER(SEARCH(Search!$N$5,J1911))),OR(Search!$N$6="",ISNUMBER(SEARCH(Search!$N$6,J1911))),OR(Search!$N$7="",ISNUMBER(SEARCH(Search!$N$7,J1911))),OR(Search!$N$8="",ISNUMBER(SEARCH(Search!$N$8,J1911)))),1,0))</f>
        <v>0</v>
      </c>
      <c r="L1911" s="1" t="n">
        <f aca="false">L1910+K1911</f>
        <v>0</v>
      </c>
    </row>
    <row r="1912" customFormat="false" ht="15" hidden="false" customHeight="true" outlineLevel="0" collapsed="false">
      <c r="A1912" s="1" t="s">
        <v>328</v>
      </c>
      <c r="B1912" s="1" t="s">
        <v>4993</v>
      </c>
      <c r="C1912" s="1" t="n">
        <v>17</v>
      </c>
      <c r="E1912" s="1" t="s">
        <v>5027</v>
      </c>
      <c r="F1912" s="1" t="s">
        <v>1975</v>
      </c>
      <c r="G1912" s="1" t="s">
        <v>492</v>
      </c>
      <c r="H1912" s="1" t="s">
        <v>2717</v>
      </c>
      <c r="I1912" s="1" t="s">
        <v>2717</v>
      </c>
      <c r="J1912" s="1" t="s">
        <v>5181</v>
      </c>
      <c r="K1912" s="1" t="n">
        <f aca="false">IF(Search!$D$5="",0,IF(AND(OR(Search!$N$5="",ISNUMBER(SEARCH(Search!$N$5,J1912))),OR(Search!$N$6="",ISNUMBER(SEARCH(Search!$N$6,J1912))),OR(Search!$N$7="",ISNUMBER(SEARCH(Search!$N$7,J1912))),OR(Search!$N$8="",ISNUMBER(SEARCH(Search!$N$8,J1912)))),1,0))</f>
        <v>0</v>
      </c>
      <c r="L1912" s="1" t="n">
        <f aca="false">L1911+K1912</f>
        <v>0</v>
      </c>
    </row>
    <row r="1913" customFormat="false" ht="15" hidden="false" customHeight="true" outlineLevel="0" collapsed="false">
      <c r="A1913" s="1" t="s">
        <v>328</v>
      </c>
      <c r="B1913" s="1" t="s">
        <v>4993</v>
      </c>
      <c r="C1913" s="1" t="n">
        <v>18</v>
      </c>
      <c r="E1913" s="1" t="s">
        <v>5029</v>
      </c>
      <c r="F1913" s="1" t="s">
        <v>627</v>
      </c>
      <c r="G1913" s="1" t="s">
        <v>2699</v>
      </c>
      <c r="H1913" s="1" t="s">
        <v>749</v>
      </c>
      <c r="I1913" s="1" t="s">
        <v>736</v>
      </c>
      <c r="J1913" s="1" t="s">
        <v>5182</v>
      </c>
      <c r="K1913" s="1" t="n">
        <f aca="false">IF(Search!$D$5="",0,IF(AND(OR(Search!$N$5="",ISNUMBER(SEARCH(Search!$N$5,J1913))),OR(Search!$N$6="",ISNUMBER(SEARCH(Search!$N$6,J1913))),OR(Search!$N$7="",ISNUMBER(SEARCH(Search!$N$7,J1913))),OR(Search!$N$8="",ISNUMBER(SEARCH(Search!$N$8,J1913)))),1,0))</f>
        <v>0</v>
      </c>
      <c r="L1913" s="1" t="n">
        <f aca="false">L1912+K1913</f>
        <v>0</v>
      </c>
    </row>
    <row r="1914" customFormat="false" ht="15" hidden="false" customHeight="true" outlineLevel="0" collapsed="false">
      <c r="A1914" s="1" t="s">
        <v>328</v>
      </c>
      <c r="B1914" s="1" t="s">
        <v>4993</v>
      </c>
      <c r="C1914" s="1" t="n">
        <v>19</v>
      </c>
      <c r="E1914" s="1" t="s">
        <v>5031</v>
      </c>
      <c r="F1914" s="1" t="s">
        <v>2081</v>
      </c>
      <c r="G1914" s="1" t="s">
        <v>2704</v>
      </c>
      <c r="H1914" s="1" t="s">
        <v>754</v>
      </c>
      <c r="I1914" s="1" t="s">
        <v>2895</v>
      </c>
      <c r="J1914" s="1" t="s">
        <v>5183</v>
      </c>
      <c r="K1914" s="1" t="n">
        <f aca="false">IF(Search!$D$5="",0,IF(AND(OR(Search!$N$5="",ISNUMBER(SEARCH(Search!$N$5,J1914))),OR(Search!$N$6="",ISNUMBER(SEARCH(Search!$N$6,J1914))),OR(Search!$N$7="",ISNUMBER(SEARCH(Search!$N$7,J1914))),OR(Search!$N$8="",ISNUMBER(SEARCH(Search!$N$8,J1914)))),1,0))</f>
        <v>0</v>
      </c>
      <c r="L1914" s="1" t="n">
        <f aca="false">L1913+K1914</f>
        <v>0</v>
      </c>
    </row>
    <row r="1915" customFormat="false" ht="15" hidden="false" customHeight="true" outlineLevel="0" collapsed="false">
      <c r="A1915" s="1" t="s">
        <v>328</v>
      </c>
      <c r="B1915" s="1" t="s">
        <v>4993</v>
      </c>
      <c r="C1915" s="1" t="n">
        <v>20</v>
      </c>
      <c r="E1915" s="1" t="s">
        <v>5033</v>
      </c>
      <c r="F1915" s="1" t="s">
        <v>587</v>
      </c>
      <c r="G1915" s="1" t="s">
        <v>3706</v>
      </c>
      <c r="H1915" s="1" t="s">
        <v>712</v>
      </c>
      <c r="I1915" s="1" t="s">
        <v>3860</v>
      </c>
      <c r="J1915" s="1" t="s">
        <v>5184</v>
      </c>
      <c r="K1915" s="1" t="n">
        <f aca="false">IF(Search!$D$5="",0,IF(AND(OR(Search!$N$5="",ISNUMBER(SEARCH(Search!$N$5,J1915))),OR(Search!$N$6="",ISNUMBER(SEARCH(Search!$N$6,J1915))),OR(Search!$N$7="",ISNUMBER(SEARCH(Search!$N$7,J1915))),OR(Search!$N$8="",ISNUMBER(SEARCH(Search!$N$8,J1915)))),1,0))</f>
        <v>0</v>
      </c>
      <c r="L1915" s="1" t="n">
        <f aca="false">L1914+K1915</f>
        <v>0</v>
      </c>
    </row>
    <row r="1916" customFormat="false" ht="15" hidden="false" customHeight="true" outlineLevel="0" collapsed="false">
      <c r="A1916" s="1" t="s">
        <v>328</v>
      </c>
      <c r="B1916" s="1" t="s">
        <v>4993</v>
      </c>
      <c r="C1916" s="1" t="n">
        <v>21</v>
      </c>
      <c r="E1916" s="1" t="s">
        <v>5185</v>
      </c>
      <c r="F1916" s="1" t="s">
        <v>583</v>
      </c>
      <c r="G1916" s="1" t="s">
        <v>5186</v>
      </c>
      <c r="H1916" s="1" t="s">
        <v>712</v>
      </c>
      <c r="I1916" s="1" t="s">
        <v>716</v>
      </c>
      <c r="J1916" s="1" t="s">
        <v>5187</v>
      </c>
      <c r="K1916" s="1" t="n">
        <f aca="false">IF(Search!$D$5="",0,IF(AND(OR(Search!$N$5="",ISNUMBER(SEARCH(Search!$N$5,J1916))),OR(Search!$N$6="",ISNUMBER(SEARCH(Search!$N$6,J1916))),OR(Search!$N$7="",ISNUMBER(SEARCH(Search!$N$7,J1916))),OR(Search!$N$8="",ISNUMBER(SEARCH(Search!$N$8,J1916)))),1,0))</f>
        <v>0</v>
      </c>
      <c r="L1916" s="1" t="n">
        <f aca="false">L1915+K1916</f>
        <v>0</v>
      </c>
    </row>
    <row r="1917" customFormat="false" ht="15" hidden="false" customHeight="true" outlineLevel="0" collapsed="false">
      <c r="A1917" s="1" t="s">
        <v>328</v>
      </c>
      <c r="B1917" s="1" t="s">
        <v>4993</v>
      </c>
      <c r="C1917" s="1" t="n">
        <v>23</v>
      </c>
      <c r="E1917" s="1" t="s">
        <v>5188</v>
      </c>
      <c r="J1917" s="1" t="s">
        <v>5188</v>
      </c>
      <c r="K1917" s="1" t="n">
        <f aca="false">IF(Search!$D$5="",0,IF(AND(OR(Search!$N$5="",ISNUMBER(SEARCH(Search!$N$5,J1917))),OR(Search!$N$6="",ISNUMBER(SEARCH(Search!$N$6,J1917))),OR(Search!$N$7="",ISNUMBER(SEARCH(Search!$N$7,J1917))),OR(Search!$N$8="",ISNUMBER(SEARCH(Search!$N$8,J1917)))),1,0))</f>
        <v>0</v>
      </c>
      <c r="L1917" s="1" t="n">
        <f aca="false">L1916+K1917</f>
        <v>0</v>
      </c>
    </row>
    <row r="1918" customFormat="false" ht="68.25" hidden="false" customHeight="true" outlineLevel="0" collapsed="false">
      <c r="A1918" s="1" t="s">
        <v>328</v>
      </c>
      <c r="B1918" s="1" t="s">
        <v>4993</v>
      </c>
      <c r="C1918" s="1" t="n">
        <v>24</v>
      </c>
      <c r="E1918" s="1" t="s">
        <v>5017</v>
      </c>
      <c r="F1918" s="46" t="s">
        <v>5036</v>
      </c>
      <c r="G1918" s="46" t="s">
        <v>5037</v>
      </c>
      <c r="H1918" s="46" t="s">
        <v>5038</v>
      </c>
      <c r="I1918" s="46" t="s">
        <v>5039</v>
      </c>
      <c r="J1918" s="46" t="s">
        <v>5040</v>
      </c>
      <c r="K1918" s="1" t="n">
        <f aca="false">IF(Search!$D$5="",0,IF(AND(OR(Search!$N$5="",ISNUMBER(SEARCH(Search!$N$5,J1918))),OR(Search!$N$6="",ISNUMBER(SEARCH(Search!$N$6,J1918))),OR(Search!$N$7="",ISNUMBER(SEARCH(Search!$N$7,J1918))),OR(Search!$N$8="",ISNUMBER(SEARCH(Search!$N$8,J1918)))),1,0))</f>
        <v>0</v>
      </c>
      <c r="L1918" s="1" t="n">
        <f aca="false">L1917+K1918</f>
        <v>0</v>
      </c>
    </row>
    <row r="1919" customFormat="false" ht="15" hidden="false" customHeight="true" outlineLevel="0" collapsed="false">
      <c r="A1919" s="1" t="s">
        <v>328</v>
      </c>
      <c r="B1919" s="1" t="s">
        <v>4993</v>
      </c>
      <c r="C1919" s="1" t="n">
        <v>25</v>
      </c>
      <c r="E1919" s="1" t="s">
        <v>5025</v>
      </c>
      <c r="F1919" s="1" t="s">
        <v>2187</v>
      </c>
      <c r="G1919" s="1" t="s">
        <v>2025</v>
      </c>
      <c r="H1919" s="1" t="s">
        <v>585</v>
      </c>
      <c r="I1919" s="1" t="s">
        <v>2735</v>
      </c>
      <c r="J1919" s="1" t="s">
        <v>5189</v>
      </c>
      <c r="K1919" s="1" t="n">
        <f aca="false">IF(Search!$D$5="",0,IF(AND(OR(Search!$N$5="",ISNUMBER(SEARCH(Search!$N$5,J1919))),OR(Search!$N$6="",ISNUMBER(SEARCH(Search!$N$6,J1919))),OR(Search!$N$7="",ISNUMBER(SEARCH(Search!$N$7,J1919))),OR(Search!$N$8="",ISNUMBER(SEARCH(Search!$N$8,J1919)))),1,0))</f>
        <v>0</v>
      </c>
      <c r="L1919" s="1" t="n">
        <f aca="false">L1918+K1919</f>
        <v>0</v>
      </c>
    </row>
    <row r="1920" customFormat="false" ht="15" hidden="false" customHeight="true" outlineLevel="0" collapsed="false">
      <c r="A1920" s="1" t="s">
        <v>328</v>
      </c>
      <c r="B1920" s="1" t="s">
        <v>4993</v>
      </c>
      <c r="C1920" s="1" t="n">
        <v>26</v>
      </c>
      <c r="E1920" s="1" t="s">
        <v>5025</v>
      </c>
      <c r="F1920" s="1" t="s">
        <v>2820</v>
      </c>
      <c r="G1920" s="1" t="s">
        <v>2025</v>
      </c>
      <c r="H1920" s="1" t="s">
        <v>585</v>
      </c>
      <c r="I1920" s="1" t="s">
        <v>2015</v>
      </c>
      <c r="J1920" s="1" t="s">
        <v>5190</v>
      </c>
      <c r="K1920" s="1" t="n">
        <f aca="false">IF(Search!$D$5="",0,IF(AND(OR(Search!$N$5="",ISNUMBER(SEARCH(Search!$N$5,J1920))),OR(Search!$N$6="",ISNUMBER(SEARCH(Search!$N$6,J1920))),OR(Search!$N$7="",ISNUMBER(SEARCH(Search!$N$7,J1920))),OR(Search!$N$8="",ISNUMBER(SEARCH(Search!$N$8,J1920)))),1,0))</f>
        <v>0</v>
      </c>
      <c r="L1920" s="1" t="n">
        <f aca="false">L1919+K1920</f>
        <v>0</v>
      </c>
    </row>
    <row r="1921" customFormat="false" ht="15" hidden="false" customHeight="true" outlineLevel="0" collapsed="false">
      <c r="A1921" s="1" t="s">
        <v>328</v>
      </c>
      <c r="B1921" s="1" t="s">
        <v>4993</v>
      </c>
      <c r="C1921" s="1" t="n">
        <v>27</v>
      </c>
      <c r="E1921" s="1" t="s">
        <v>5027</v>
      </c>
      <c r="F1921" s="1" t="s">
        <v>492</v>
      </c>
      <c r="G1921" s="1" t="s">
        <v>585</v>
      </c>
      <c r="H1921" s="1" t="s">
        <v>2306</v>
      </c>
      <c r="I1921" s="1" t="s">
        <v>4087</v>
      </c>
      <c r="J1921" s="1" t="s">
        <v>5191</v>
      </c>
      <c r="K1921" s="1" t="n">
        <f aca="false">IF(Search!$D$5="",0,IF(AND(OR(Search!$N$5="",ISNUMBER(SEARCH(Search!$N$5,J1921))),OR(Search!$N$6="",ISNUMBER(SEARCH(Search!$N$6,J1921))),OR(Search!$N$7="",ISNUMBER(SEARCH(Search!$N$7,J1921))),OR(Search!$N$8="",ISNUMBER(SEARCH(Search!$N$8,J1921)))),1,0))</f>
        <v>0</v>
      </c>
      <c r="L1921" s="1" t="n">
        <f aca="false">L1920+K1921</f>
        <v>0</v>
      </c>
    </row>
    <row r="1922" customFormat="false" ht="15" hidden="false" customHeight="true" outlineLevel="0" collapsed="false">
      <c r="A1922" s="1" t="s">
        <v>328</v>
      </c>
      <c r="B1922" s="1" t="s">
        <v>4993</v>
      </c>
      <c r="C1922" s="1" t="n">
        <v>28</v>
      </c>
      <c r="E1922" s="1" t="s">
        <v>5027</v>
      </c>
      <c r="F1922" s="1" t="s">
        <v>2704</v>
      </c>
      <c r="G1922" s="1" t="s">
        <v>585</v>
      </c>
      <c r="H1922" s="1" t="s">
        <v>2306</v>
      </c>
      <c r="I1922" s="1" t="s">
        <v>3200</v>
      </c>
      <c r="J1922" s="1" t="s">
        <v>5192</v>
      </c>
      <c r="K1922" s="1" t="n">
        <f aca="false">IF(Search!$D$5="",0,IF(AND(OR(Search!$N$5="",ISNUMBER(SEARCH(Search!$N$5,J1922))),OR(Search!$N$6="",ISNUMBER(SEARCH(Search!$N$6,J1922))),OR(Search!$N$7="",ISNUMBER(SEARCH(Search!$N$7,J1922))),OR(Search!$N$8="",ISNUMBER(SEARCH(Search!$N$8,J1922)))),1,0))</f>
        <v>0</v>
      </c>
      <c r="L1922" s="1" t="n">
        <f aca="false">L1921+K1922</f>
        <v>0</v>
      </c>
    </row>
    <row r="1923" customFormat="false" ht="15" hidden="false" customHeight="true" outlineLevel="0" collapsed="false">
      <c r="A1923" s="1" t="s">
        <v>328</v>
      </c>
      <c r="B1923" s="1" t="s">
        <v>4993</v>
      </c>
      <c r="C1923" s="1" t="n">
        <v>29</v>
      </c>
      <c r="E1923" s="1" t="s">
        <v>5029</v>
      </c>
      <c r="F1923" s="1" t="s">
        <v>2699</v>
      </c>
      <c r="G1923" s="1" t="s">
        <v>2306</v>
      </c>
      <c r="H1923" s="1" t="s">
        <v>3680</v>
      </c>
      <c r="I1923" s="1" t="s">
        <v>3792</v>
      </c>
      <c r="J1923" s="1" t="s">
        <v>5193</v>
      </c>
      <c r="K1923" s="1" t="n">
        <f aca="false">IF(Search!$D$5="",0,IF(AND(OR(Search!$N$5="",ISNUMBER(SEARCH(Search!$N$5,J1923))),OR(Search!$N$6="",ISNUMBER(SEARCH(Search!$N$6,J1923))),OR(Search!$N$7="",ISNUMBER(SEARCH(Search!$N$7,J1923))),OR(Search!$N$8="",ISNUMBER(SEARCH(Search!$N$8,J1923)))),1,0))</f>
        <v>0</v>
      </c>
      <c r="L1923" s="1" t="n">
        <f aca="false">L1922+K1923</f>
        <v>0</v>
      </c>
    </row>
    <row r="1924" customFormat="false" ht="15" hidden="false" customHeight="true" outlineLevel="0" collapsed="false">
      <c r="A1924" s="1" t="s">
        <v>328</v>
      </c>
      <c r="B1924" s="1" t="s">
        <v>4993</v>
      </c>
      <c r="C1924" s="1" t="n">
        <v>30</v>
      </c>
      <c r="E1924" s="1" t="s">
        <v>5029</v>
      </c>
      <c r="F1924" s="1" t="s">
        <v>3241</v>
      </c>
      <c r="G1924" s="1" t="s">
        <v>2306</v>
      </c>
      <c r="H1924" s="1" t="s">
        <v>3680</v>
      </c>
      <c r="I1924" s="1" t="s">
        <v>1418</v>
      </c>
      <c r="J1924" s="1" t="s">
        <v>5194</v>
      </c>
      <c r="K1924" s="1" t="n">
        <f aca="false">IF(Search!$D$5="",0,IF(AND(OR(Search!$N$5="",ISNUMBER(SEARCH(Search!$N$5,J1924))),OR(Search!$N$6="",ISNUMBER(SEARCH(Search!$N$6,J1924))),OR(Search!$N$7="",ISNUMBER(SEARCH(Search!$N$7,J1924))),OR(Search!$N$8="",ISNUMBER(SEARCH(Search!$N$8,J1924)))),1,0))</f>
        <v>0</v>
      </c>
      <c r="L1924" s="1" t="n">
        <f aca="false">L1923+K1924</f>
        <v>0</v>
      </c>
    </row>
    <row r="1925" customFormat="false" ht="15" hidden="false" customHeight="true" outlineLevel="0" collapsed="false">
      <c r="A1925" s="1" t="s">
        <v>328</v>
      </c>
      <c r="B1925" s="1" t="s">
        <v>4993</v>
      </c>
      <c r="C1925" s="1" t="n">
        <v>31</v>
      </c>
      <c r="E1925" s="1" t="s">
        <v>5031</v>
      </c>
      <c r="F1925" s="1" t="s">
        <v>2704</v>
      </c>
      <c r="G1925" s="1" t="s">
        <v>3680</v>
      </c>
      <c r="H1925" s="1" t="s">
        <v>5055</v>
      </c>
      <c r="I1925" s="1" t="s">
        <v>2806</v>
      </c>
      <c r="J1925" s="1" t="s">
        <v>5195</v>
      </c>
      <c r="K1925" s="1" t="n">
        <f aca="false">IF(Search!$D$5="",0,IF(AND(OR(Search!$N$5="",ISNUMBER(SEARCH(Search!$N$5,J1925))),OR(Search!$N$6="",ISNUMBER(SEARCH(Search!$N$6,J1925))),OR(Search!$N$7="",ISNUMBER(SEARCH(Search!$N$7,J1925))),OR(Search!$N$8="",ISNUMBER(SEARCH(Search!$N$8,J1925)))),1,0))</f>
        <v>0</v>
      </c>
      <c r="L1925" s="1" t="n">
        <f aca="false">L1924+K1925</f>
        <v>0</v>
      </c>
    </row>
    <row r="1926" customFormat="false" ht="15" hidden="false" customHeight="true" outlineLevel="0" collapsed="false">
      <c r="A1926" s="1" t="s">
        <v>328</v>
      </c>
      <c r="B1926" s="1" t="s">
        <v>4993</v>
      </c>
      <c r="C1926" s="1" t="n">
        <v>32</v>
      </c>
      <c r="E1926" s="1" t="s">
        <v>5031</v>
      </c>
      <c r="F1926" s="1" t="s">
        <v>2710</v>
      </c>
      <c r="G1926" s="1" t="s">
        <v>3680</v>
      </c>
      <c r="H1926" s="1" t="s">
        <v>5055</v>
      </c>
      <c r="I1926" s="1" t="s">
        <v>3281</v>
      </c>
      <c r="J1926" s="1" t="s">
        <v>5196</v>
      </c>
      <c r="K1926" s="1" t="n">
        <f aca="false">IF(Search!$D$5="",0,IF(AND(OR(Search!$N$5="",ISNUMBER(SEARCH(Search!$N$5,J1926))),OR(Search!$N$6="",ISNUMBER(SEARCH(Search!$N$6,J1926))),OR(Search!$N$7="",ISNUMBER(SEARCH(Search!$N$7,J1926))),OR(Search!$N$8="",ISNUMBER(SEARCH(Search!$N$8,J1926)))),1,0))</f>
        <v>0</v>
      </c>
      <c r="L1926" s="1" t="n">
        <f aca="false">L1925+K1926</f>
        <v>0</v>
      </c>
    </row>
    <row r="1927" customFormat="false" ht="15" hidden="false" customHeight="true" outlineLevel="0" collapsed="false">
      <c r="A1927" s="1" t="s">
        <v>328</v>
      </c>
      <c r="B1927" s="1" t="s">
        <v>4993</v>
      </c>
      <c r="C1927" s="1" t="n">
        <v>33</v>
      </c>
      <c r="E1927" s="1" t="s">
        <v>5033</v>
      </c>
      <c r="F1927" s="1" t="s">
        <v>3712</v>
      </c>
      <c r="G1927" s="1" t="s">
        <v>5055</v>
      </c>
      <c r="H1927" s="1" t="s">
        <v>2717</v>
      </c>
      <c r="I1927" s="1" t="s">
        <v>3311</v>
      </c>
      <c r="J1927" s="1" t="s">
        <v>5197</v>
      </c>
      <c r="K1927" s="1" t="n">
        <f aca="false">IF(Search!$D$5="",0,IF(AND(OR(Search!$N$5="",ISNUMBER(SEARCH(Search!$N$5,J1927))),OR(Search!$N$6="",ISNUMBER(SEARCH(Search!$N$6,J1927))),OR(Search!$N$7="",ISNUMBER(SEARCH(Search!$N$7,J1927))),OR(Search!$N$8="",ISNUMBER(SEARCH(Search!$N$8,J1927)))),1,0))</f>
        <v>0</v>
      </c>
      <c r="L1927" s="1" t="n">
        <f aca="false">L1926+K1927</f>
        <v>0</v>
      </c>
    </row>
    <row r="1928" customFormat="false" ht="15" hidden="false" customHeight="true" outlineLevel="0" collapsed="false">
      <c r="A1928" s="1" t="s">
        <v>328</v>
      </c>
      <c r="B1928" s="1" t="s">
        <v>4993</v>
      </c>
      <c r="C1928" s="1" t="n">
        <v>34</v>
      </c>
      <c r="E1928" s="1" t="s">
        <v>5185</v>
      </c>
      <c r="F1928" s="1" t="s">
        <v>5186</v>
      </c>
      <c r="G1928" s="1" t="s">
        <v>5114</v>
      </c>
      <c r="H1928" s="1" t="s">
        <v>5114</v>
      </c>
      <c r="I1928" s="1" t="s">
        <v>3790</v>
      </c>
      <c r="J1928" s="1" t="s">
        <v>5198</v>
      </c>
      <c r="K1928" s="1" t="n">
        <f aca="false">IF(Search!$D$5="",0,IF(AND(OR(Search!$N$5="",ISNUMBER(SEARCH(Search!$N$5,J1928))),OR(Search!$N$6="",ISNUMBER(SEARCH(Search!$N$6,J1928))),OR(Search!$N$7="",ISNUMBER(SEARCH(Search!$N$7,J1928))),OR(Search!$N$8="",ISNUMBER(SEARCH(Search!$N$8,J1928)))),1,0))</f>
        <v>0</v>
      </c>
      <c r="L1928" s="1" t="n">
        <f aca="false">L1927+K1928</f>
        <v>0</v>
      </c>
    </row>
    <row r="1929" customFormat="false" ht="15" hidden="false" customHeight="true" outlineLevel="0" collapsed="false">
      <c r="A1929" s="1" t="s">
        <v>328</v>
      </c>
      <c r="B1929" s="1" t="s">
        <v>4993</v>
      </c>
      <c r="C1929" s="1" t="n">
        <v>36</v>
      </c>
      <c r="E1929" s="1" t="s">
        <v>5199</v>
      </c>
      <c r="J1929" s="1" t="s">
        <v>5199</v>
      </c>
      <c r="K1929" s="1" t="n">
        <f aca="false">IF(Search!$D$5="",0,IF(AND(OR(Search!$N$5="",ISNUMBER(SEARCH(Search!$N$5,J1929))),OR(Search!$N$6="",ISNUMBER(SEARCH(Search!$N$6,J1929))),OR(Search!$N$7="",ISNUMBER(SEARCH(Search!$N$7,J1929))),OR(Search!$N$8="",ISNUMBER(SEARCH(Search!$N$8,J1929)))),1,0))</f>
        <v>0</v>
      </c>
      <c r="L1929" s="1" t="n">
        <f aca="false">L1928+K1929</f>
        <v>0</v>
      </c>
    </row>
    <row r="1930" customFormat="false" ht="68.25" hidden="false" customHeight="true" outlineLevel="0" collapsed="false">
      <c r="A1930" s="1" t="s">
        <v>328</v>
      </c>
      <c r="B1930" s="1" t="s">
        <v>4993</v>
      </c>
      <c r="C1930" s="1" t="n">
        <v>37</v>
      </c>
      <c r="E1930" s="1" t="s">
        <v>5017</v>
      </c>
      <c r="F1930" s="46" t="s">
        <v>5036</v>
      </c>
      <c r="G1930" s="46" t="s">
        <v>5037</v>
      </c>
      <c r="H1930" s="46" t="s">
        <v>5038</v>
      </c>
      <c r="I1930" s="46" t="s">
        <v>5039</v>
      </c>
      <c r="J1930" s="46" t="s">
        <v>5040</v>
      </c>
      <c r="K1930" s="1" t="n">
        <f aca="false">IF(Search!$D$5="",0,IF(AND(OR(Search!$N$5="",ISNUMBER(SEARCH(Search!$N$5,J1930))),OR(Search!$N$6="",ISNUMBER(SEARCH(Search!$N$6,J1930))),OR(Search!$N$7="",ISNUMBER(SEARCH(Search!$N$7,J1930))),OR(Search!$N$8="",ISNUMBER(SEARCH(Search!$N$8,J1930)))),1,0))</f>
        <v>0</v>
      </c>
      <c r="L1930" s="1" t="n">
        <f aca="false">L1929+K1930</f>
        <v>0</v>
      </c>
    </row>
    <row r="1931" customFormat="false" ht="15" hidden="false" customHeight="true" outlineLevel="0" collapsed="false">
      <c r="A1931" s="1" t="s">
        <v>328</v>
      </c>
      <c r="B1931" s="1" t="s">
        <v>4993</v>
      </c>
      <c r="C1931" s="1" t="n">
        <v>38</v>
      </c>
      <c r="E1931" s="1" t="s">
        <v>5025</v>
      </c>
      <c r="F1931" s="1" t="s">
        <v>2187</v>
      </c>
      <c r="G1931" s="1" t="s">
        <v>2025</v>
      </c>
      <c r="H1931" s="1" t="s">
        <v>585</v>
      </c>
      <c r="I1931" s="1" t="s">
        <v>5200</v>
      </c>
      <c r="J1931" s="1" t="s">
        <v>5201</v>
      </c>
      <c r="K1931" s="1" t="n">
        <f aca="false">IF(Search!$D$5="",0,IF(AND(OR(Search!$N$5="",ISNUMBER(SEARCH(Search!$N$5,J1931))),OR(Search!$N$6="",ISNUMBER(SEARCH(Search!$N$6,J1931))),OR(Search!$N$7="",ISNUMBER(SEARCH(Search!$N$7,J1931))),OR(Search!$N$8="",ISNUMBER(SEARCH(Search!$N$8,J1931)))),1,0))</f>
        <v>0</v>
      </c>
      <c r="L1931" s="1" t="n">
        <f aca="false">L1930+K1931</f>
        <v>0</v>
      </c>
    </row>
    <row r="1932" customFormat="false" ht="15" hidden="false" customHeight="true" outlineLevel="0" collapsed="false">
      <c r="A1932" s="1" t="s">
        <v>328</v>
      </c>
      <c r="B1932" s="1" t="s">
        <v>4993</v>
      </c>
      <c r="C1932" s="1" t="n">
        <v>39</v>
      </c>
      <c r="E1932" s="1" t="s">
        <v>5025</v>
      </c>
      <c r="F1932" s="1" t="s">
        <v>2820</v>
      </c>
      <c r="G1932" s="1" t="s">
        <v>2025</v>
      </c>
      <c r="H1932" s="1" t="s">
        <v>585</v>
      </c>
      <c r="I1932" s="1" t="s">
        <v>5202</v>
      </c>
      <c r="J1932" s="1" t="s">
        <v>5203</v>
      </c>
      <c r="K1932" s="1" t="n">
        <f aca="false">IF(Search!$D$5="",0,IF(AND(OR(Search!$N$5="",ISNUMBER(SEARCH(Search!$N$5,J1932))),OR(Search!$N$6="",ISNUMBER(SEARCH(Search!$N$6,J1932))),OR(Search!$N$7="",ISNUMBER(SEARCH(Search!$N$7,J1932))),OR(Search!$N$8="",ISNUMBER(SEARCH(Search!$N$8,J1932)))),1,0))</f>
        <v>0</v>
      </c>
      <c r="L1932" s="1" t="n">
        <f aca="false">L1931+K1932</f>
        <v>0</v>
      </c>
    </row>
    <row r="1933" customFormat="false" ht="15" hidden="false" customHeight="true" outlineLevel="0" collapsed="false">
      <c r="A1933" s="1" t="s">
        <v>328</v>
      </c>
      <c r="B1933" s="1" t="s">
        <v>4993</v>
      </c>
      <c r="C1933" s="1" t="n">
        <v>40</v>
      </c>
      <c r="E1933" s="1" t="s">
        <v>5027</v>
      </c>
      <c r="F1933" s="1" t="s">
        <v>492</v>
      </c>
      <c r="G1933" s="1" t="s">
        <v>585</v>
      </c>
      <c r="H1933" s="1" t="s">
        <v>2306</v>
      </c>
      <c r="I1933" s="1" t="s">
        <v>1588</v>
      </c>
      <c r="J1933" s="1" t="s">
        <v>5204</v>
      </c>
      <c r="K1933" s="1" t="n">
        <f aca="false">IF(Search!$D$5="",0,IF(AND(OR(Search!$N$5="",ISNUMBER(SEARCH(Search!$N$5,J1933))),OR(Search!$N$6="",ISNUMBER(SEARCH(Search!$N$6,J1933))),OR(Search!$N$7="",ISNUMBER(SEARCH(Search!$N$7,J1933))),OR(Search!$N$8="",ISNUMBER(SEARCH(Search!$N$8,J1933)))),1,0))</f>
        <v>0</v>
      </c>
      <c r="L1933" s="1" t="n">
        <f aca="false">L1932+K1933</f>
        <v>0</v>
      </c>
    </row>
    <row r="1934" customFormat="false" ht="15" hidden="false" customHeight="true" outlineLevel="0" collapsed="false">
      <c r="A1934" s="1" t="s">
        <v>328</v>
      </c>
      <c r="B1934" s="1" t="s">
        <v>4993</v>
      </c>
      <c r="C1934" s="1" t="n">
        <v>41</v>
      </c>
      <c r="E1934" s="1" t="s">
        <v>5027</v>
      </c>
      <c r="F1934" s="1" t="s">
        <v>2704</v>
      </c>
      <c r="G1934" s="1" t="s">
        <v>585</v>
      </c>
      <c r="H1934" s="1" t="s">
        <v>2306</v>
      </c>
      <c r="I1934" s="1" t="s">
        <v>3251</v>
      </c>
      <c r="J1934" s="1" t="s">
        <v>5205</v>
      </c>
      <c r="K1934" s="1" t="n">
        <f aca="false">IF(Search!$D$5="",0,IF(AND(OR(Search!$N$5="",ISNUMBER(SEARCH(Search!$N$5,J1934))),OR(Search!$N$6="",ISNUMBER(SEARCH(Search!$N$6,J1934))),OR(Search!$N$7="",ISNUMBER(SEARCH(Search!$N$7,J1934))),OR(Search!$N$8="",ISNUMBER(SEARCH(Search!$N$8,J1934)))),1,0))</f>
        <v>0</v>
      </c>
      <c r="L1934" s="1" t="n">
        <f aca="false">L1933+K1934</f>
        <v>0</v>
      </c>
    </row>
    <row r="1935" customFormat="false" ht="15" hidden="false" customHeight="true" outlineLevel="0" collapsed="false">
      <c r="A1935" s="1" t="s">
        <v>328</v>
      </c>
      <c r="B1935" s="1" t="s">
        <v>4993</v>
      </c>
      <c r="C1935" s="1" t="n">
        <v>42</v>
      </c>
      <c r="E1935" s="1" t="s">
        <v>5029</v>
      </c>
      <c r="F1935" s="1" t="s">
        <v>2699</v>
      </c>
      <c r="G1935" s="1" t="s">
        <v>2306</v>
      </c>
      <c r="H1935" s="1" t="s">
        <v>3680</v>
      </c>
      <c r="I1935" s="1" t="s">
        <v>2478</v>
      </c>
      <c r="J1935" s="1" t="s">
        <v>5206</v>
      </c>
      <c r="K1935" s="1" t="n">
        <f aca="false">IF(Search!$D$5="",0,IF(AND(OR(Search!$N$5="",ISNUMBER(SEARCH(Search!$N$5,J1935))),OR(Search!$N$6="",ISNUMBER(SEARCH(Search!$N$6,J1935))),OR(Search!$N$7="",ISNUMBER(SEARCH(Search!$N$7,J1935))),OR(Search!$N$8="",ISNUMBER(SEARCH(Search!$N$8,J1935)))),1,0))</f>
        <v>0</v>
      </c>
      <c r="L1935" s="1" t="n">
        <f aca="false">L1934+K1935</f>
        <v>0</v>
      </c>
    </row>
    <row r="1936" customFormat="false" ht="15" hidden="false" customHeight="true" outlineLevel="0" collapsed="false">
      <c r="A1936" s="1" t="s">
        <v>328</v>
      </c>
      <c r="B1936" s="1" t="s">
        <v>4993</v>
      </c>
      <c r="C1936" s="1" t="n">
        <v>43</v>
      </c>
      <c r="E1936" s="1" t="s">
        <v>5029</v>
      </c>
      <c r="F1936" s="1" t="s">
        <v>3241</v>
      </c>
      <c r="G1936" s="1" t="s">
        <v>2306</v>
      </c>
      <c r="H1936" s="1" t="s">
        <v>3680</v>
      </c>
      <c r="I1936" s="1" t="s">
        <v>2044</v>
      </c>
      <c r="J1936" s="1" t="s">
        <v>5207</v>
      </c>
      <c r="K1936" s="1" t="n">
        <f aca="false">IF(Search!$D$5="",0,IF(AND(OR(Search!$N$5="",ISNUMBER(SEARCH(Search!$N$5,J1936))),OR(Search!$N$6="",ISNUMBER(SEARCH(Search!$N$6,J1936))),OR(Search!$N$7="",ISNUMBER(SEARCH(Search!$N$7,J1936))),OR(Search!$N$8="",ISNUMBER(SEARCH(Search!$N$8,J1936)))),1,0))</f>
        <v>0</v>
      </c>
      <c r="L1936" s="1" t="n">
        <f aca="false">L1935+K1936</f>
        <v>0</v>
      </c>
    </row>
    <row r="1937" customFormat="false" ht="15" hidden="false" customHeight="true" outlineLevel="0" collapsed="false">
      <c r="A1937" s="1" t="s">
        <v>328</v>
      </c>
      <c r="B1937" s="1" t="s">
        <v>4993</v>
      </c>
      <c r="C1937" s="1" t="n">
        <v>44</v>
      </c>
      <c r="E1937" s="1" t="s">
        <v>5031</v>
      </c>
      <c r="F1937" s="1" t="s">
        <v>2704</v>
      </c>
      <c r="G1937" s="1" t="s">
        <v>3680</v>
      </c>
      <c r="H1937" s="1" t="s">
        <v>5055</v>
      </c>
      <c r="I1937" s="1" t="s">
        <v>2115</v>
      </c>
      <c r="J1937" s="1" t="s">
        <v>5208</v>
      </c>
      <c r="K1937" s="1" t="n">
        <f aca="false">IF(Search!$D$5="",0,IF(AND(OR(Search!$N$5="",ISNUMBER(SEARCH(Search!$N$5,J1937))),OR(Search!$N$6="",ISNUMBER(SEARCH(Search!$N$6,J1937))),OR(Search!$N$7="",ISNUMBER(SEARCH(Search!$N$7,J1937))),OR(Search!$N$8="",ISNUMBER(SEARCH(Search!$N$8,J1937)))),1,0))</f>
        <v>0</v>
      </c>
      <c r="L1937" s="1" t="n">
        <f aca="false">L1936+K1937</f>
        <v>0</v>
      </c>
    </row>
    <row r="1938" customFormat="false" ht="15" hidden="false" customHeight="true" outlineLevel="0" collapsed="false">
      <c r="A1938" s="1" t="s">
        <v>328</v>
      </c>
      <c r="B1938" s="1" t="s">
        <v>4993</v>
      </c>
      <c r="C1938" s="1" t="n">
        <v>45</v>
      </c>
      <c r="E1938" s="1" t="s">
        <v>5031</v>
      </c>
      <c r="F1938" s="1" t="s">
        <v>2710</v>
      </c>
      <c r="G1938" s="1" t="s">
        <v>3680</v>
      </c>
      <c r="H1938" s="1" t="s">
        <v>5055</v>
      </c>
      <c r="I1938" s="1" t="s">
        <v>3266</v>
      </c>
      <c r="J1938" s="1" t="s">
        <v>5209</v>
      </c>
      <c r="K1938" s="1" t="n">
        <f aca="false">IF(Search!$D$5="",0,IF(AND(OR(Search!$N$5="",ISNUMBER(SEARCH(Search!$N$5,J1938))),OR(Search!$N$6="",ISNUMBER(SEARCH(Search!$N$6,J1938))),OR(Search!$N$7="",ISNUMBER(SEARCH(Search!$N$7,J1938))),OR(Search!$N$8="",ISNUMBER(SEARCH(Search!$N$8,J1938)))),1,0))</f>
        <v>0</v>
      </c>
      <c r="L1938" s="1" t="n">
        <f aca="false">L1937+K1938</f>
        <v>0</v>
      </c>
    </row>
    <row r="1939" customFormat="false" ht="15" hidden="false" customHeight="true" outlineLevel="0" collapsed="false">
      <c r="A1939" s="1" t="s">
        <v>328</v>
      </c>
      <c r="B1939" s="1" t="s">
        <v>4993</v>
      </c>
      <c r="C1939" s="1" t="n">
        <v>46</v>
      </c>
      <c r="E1939" s="1" t="s">
        <v>5033</v>
      </c>
      <c r="F1939" s="1" t="s">
        <v>3712</v>
      </c>
      <c r="G1939" s="1" t="s">
        <v>5055</v>
      </c>
      <c r="H1939" s="1" t="s">
        <v>2717</v>
      </c>
      <c r="I1939" s="1" t="s">
        <v>5044</v>
      </c>
      <c r="J1939" s="1" t="s">
        <v>5210</v>
      </c>
      <c r="K1939" s="1" t="n">
        <f aca="false">IF(Search!$D$5="",0,IF(AND(OR(Search!$N$5="",ISNUMBER(SEARCH(Search!$N$5,J1939))),OR(Search!$N$6="",ISNUMBER(SEARCH(Search!$N$6,J1939))),OR(Search!$N$7="",ISNUMBER(SEARCH(Search!$N$7,J1939))),OR(Search!$N$8="",ISNUMBER(SEARCH(Search!$N$8,J1939)))),1,0))</f>
        <v>0</v>
      </c>
      <c r="L1939" s="1" t="n">
        <f aca="false">L1938+K1939</f>
        <v>0</v>
      </c>
    </row>
    <row r="1940" customFormat="false" ht="15" hidden="false" customHeight="true" outlineLevel="0" collapsed="false">
      <c r="A1940" s="1" t="s">
        <v>328</v>
      </c>
      <c r="B1940" s="1" t="s">
        <v>4993</v>
      </c>
      <c r="C1940" s="1" t="n">
        <v>47</v>
      </c>
      <c r="E1940" s="1" t="s">
        <v>5185</v>
      </c>
      <c r="F1940" s="1" t="s">
        <v>5186</v>
      </c>
      <c r="G1940" s="1" t="s">
        <v>5114</v>
      </c>
      <c r="H1940" s="1" t="s">
        <v>5114</v>
      </c>
      <c r="I1940" s="1" t="s">
        <v>4379</v>
      </c>
      <c r="J1940" s="1" t="s">
        <v>5211</v>
      </c>
      <c r="K1940" s="1" t="n">
        <f aca="false">IF(Search!$D$5="",0,IF(AND(OR(Search!$N$5="",ISNUMBER(SEARCH(Search!$N$5,J1940))),OR(Search!$N$6="",ISNUMBER(SEARCH(Search!$N$6,J1940))),OR(Search!$N$7="",ISNUMBER(SEARCH(Search!$N$7,J1940))),OR(Search!$N$8="",ISNUMBER(SEARCH(Search!$N$8,J1940)))),1,0))</f>
        <v>0</v>
      </c>
      <c r="L1940" s="1" t="n">
        <f aca="false">L1939+K1940</f>
        <v>0</v>
      </c>
    </row>
    <row r="1941" customFormat="false" ht="15" hidden="false" customHeight="true" outlineLevel="0" collapsed="false">
      <c r="A1941" s="1" t="s">
        <v>328</v>
      </c>
      <c r="B1941" s="1" t="s">
        <v>4993</v>
      </c>
      <c r="C1941" s="1" t="n">
        <v>49</v>
      </c>
      <c r="E1941" s="1" t="s">
        <v>5212</v>
      </c>
      <c r="J1941" s="1" t="s">
        <v>5212</v>
      </c>
      <c r="K1941" s="1" t="n">
        <f aca="false">IF(Search!$D$5="",0,IF(AND(OR(Search!$N$5="",ISNUMBER(SEARCH(Search!$N$5,J1941))),OR(Search!$N$6="",ISNUMBER(SEARCH(Search!$N$6,J1941))),OR(Search!$N$7="",ISNUMBER(SEARCH(Search!$N$7,J1941))),OR(Search!$N$8="",ISNUMBER(SEARCH(Search!$N$8,J1941)))),1,0))</f>
        <v>0</v>
      </c>
      <c r="L1941" s="1" t="n">
        <f aca="false">L1940+K1941</f>
        <v>0</v>
      </c>
    </row>
    <row r="1942" customFormat="false" ht="68.25" hidden="false" customHeight="true" outlineLevel="0" collapsed="false">
      <c r="A1942" s="1" t="s">
        <v>328</v>
      </c>
      <c r="B1942" s="1" t="s">
        <v>4993</v>
      </c>
      <c r="C1942" s="1" t="n">
        <v>50</v>
      </c>
      <c r="E1942" s="1" t="s">
        <v>5017</v>
      </c>
      <c r="F1942" s="46" t="s">
        <v>5059</v>
      </c>
      <c r="G1942" s="46" t="s">
        <v>5061</v>
      </c>
      <c r="H1942" s="46" t="s">
        <v>5062</v>
      </c>
      <c r="I1942" s="46" t="s">
        <v>5213</v>
      </c>
      <c r="J1942" s="46" t="s">
        <v>5214</v>
      </c>
      <c r="K1942" s="1" t="n">
        <f aca="false">IF(Search!$D$5="",0,IF(AND(OR(Search!$N$5="",ISNUMBER(SEARCH(Search!$N$5,J1942))),OR(Search!$N$6="",ISNUMBER(SEARCH(Search!$N$6,J1942))),OR(Search!$N$7="",ISNUMBER(SEARCH(Search!$N$7,J1942))),OR(Search!$N$8="",ISNUMBER(SEARCH(Search!$N$8,J1942)))),1,0))</f>
        <v>0</v>
      </c>
      <c r="L1942" s="1" t="n">
        <f aca="false">L1941+K1942</f>
        <v>0</v>
      </c>
    </row>
    <row r="1943" customFormat="false" ht="15" hidden="false" customHeight="true" outlineLevel="0" collapsed="false">
      <c r="A1943" s="1" t="s">
        <v>328</v>
      </c>
      <c r="B1943" s="1" t="s">
        <v>4993</v>
      </c>
      <c r="C1943" s="1" t="n">
        <v>51</v>
      </c>
      <c r="E1943" s="1" t="s">
        <v>5023</v>
      </c>
      <c r="F1943" s="1" t="s">
        <v>1834</v>
      </c>
      <c r="G1943" s="1" t="s">
        <v>2708</v>
      </c>
      <c r="H1943" s="1" t="s">
        <v>2948</v>
      </c>
      <c r="I1943" s="1" t="s">
        <v>987</v>
      </c>
      <c r="J1943" s="1" t="s">
        <v>5215</v>
      </c>
      <c r="K1943" s="1" t="n">
        <f aca="false">IF(Search!$D$5="",0,IF(AND(OR(Search!$N$5="",ISNUMBER(SEARCH(Search!$N$5,J1943))),OR(Search!$N$6="",ISNUMBER(SEARCH(Search!$N$6,J1943))),OR(Search!$N$7="",ISNUMBER(SEARCH(Search!$N$7,J1943))),OR(Search!$N$8="",ISNUMBER(SEARCH(Search!$N$8,J1943)))),1,0))</f>
        <v>0</v>
      </c>
      <c r="L1943" s="1" t="n">
        <f aca="false">L1942+K1943</f>
        <v>0</v>
      </c>
    </row>
    <row r="1944" customFormat="false" ht="15" hidden="false" customHeight="true" outlineLevel="0" collapsed="false">
      <c r="A1944" s="1" t="s">
        <v>328</v>
      </c>
      <c r="B1944" s="1" t="s">
        <v>4993</v>
      </c>
      <c r="C1944" s="1" t="n">
        <v>52</v>
      </c>
      <c r="E1944" s="1" t="s">
        <v>5025</v>
      </c>
      <c r="F1944" s="1" t="s">
        <v>2276</v>
      </c>
      <c r="G1944" s="1" t="s">
        <v>1989</v>
      </c>
      <c r="H1944" s="1" t="s">
        <v>2008</v>
      </c>
      <c r="I1944" s="1" t="s">
        <v>1967</v>
      </c>
      <c r="J1944" s="1" t="s">
        <v>5216</v>
      </c>
      <c r="K1944" s="1" t="n">
        <f aca="false">IF(Search!$D$5="",0,IF(AND(OR(Search!$N$5="",ISNUMBER(SEARCH(Search!$N$5,J1944))),OR(Search!$N$6="",ISNUMBER(SEARCH(Search!$N$6,J1944))),OR(Search!$N$7="",ISNUMBER(SEARCH(Search!$N$7,J1944))),OR(Search!$N$8="",ISNUMBER(SEARCH(Search!$N$8,J1944)))),1,0))</f>
        <v>0</v>
      </c>
      <c r="L1944" s="1" t="n">
        <f aca="false">L1943+K1944</f>
        <v>0</v>
      </c>
    </row>
    <row r="1945" customFormat="false" ht="15" hidden="false" customHeight="true" outlineLevel="0" collapsed="false">
      <c r="A1945" s="1" t="s">
        <v>328</v>
      </c>
      <c r="B1945" s="1" t="s">
        <v>4993</v>
      </c>
      <c r="C1945" s="1" t="n">
        <v>53</v>
      </c>
      <c r="E1945" s="1" t="s">
        <v>5027</v>
      </c>
      <c r="F1945" s="1" t="s">
        <v>3288</v>
      </c>
      <c r="G1945" s="1" t="s">
        <v>1701</v>
      </c>
      <c r="H1945" s="1" t="s">
        <v>2015</v>
      </c>
      <c r="I1945" s="1" t="s">
        <v>1737</v>
      </c>
      <c r="J1945" s="1" t="s">
        <v>5217</v>
      </c>
      <c r="K1945" s="1" t="n">
        <f aca="false">IF(Search!$D$5="",0,IF(AND(OR(Search!$N$5="",ISNUMBER(SEARCH(Search!$N$5,J1945))),OR(Search!$N$6="",ISNUMBER(SEARCH(Search!$N$6,J1945))),OR(Search!$N$7="",ISNUMBER(SEARCH(Search!$N$7,J1945))),OR(Search!$N$8="",ISNUMBER(SEARCH(Search!$N$8,J1945)))),1,0))</f>
        <v>0</v>
      </c>
      <c r="L1945" s="1" t="n">
        <f aca="false">L1944+K1945</f>
        <v>0</v>
      </c>
    </row>
    <row r="1946" customFormat="false" ht="15" hidden="false" customHeight="true" outlineLevel="0" collapsed="false">
      <c r="A1946" s="1" t="s">
        <v>328</v>
      </c>
      <c r="B1946" s="1" t="s">
        <v>4993</v>
      </c>
      <c r="C1946" s="1" t="n">
        <v>54</v>
      </c>
      <c r="E1946" s="1" t="s">
        <v>5029</v>
      </c>
      <c r="F1946" s="1" t="s">
        <v>478</v>
      </c>
      <c r="G1946" s="1" t="s">
        <v>5218</v>
      </c>
      <c r="H1946" s="1" t="s">
        <v>580</v>
      </c>
      <c r="I1946" s="1" t="s">
        <v>3572</v>
      </c>
      <c r="J1946" s="1" t="s">
        <v>5219</v>
      </c>
      <c r="K1946" s="1" t="n">
        <f aca="false">IF(Search!$D$5="",0,IF(AND(OR(Search!$N$5="",ISNUMBER(SEARCH(Search!$N$5,J1946))),OR(Search!$N$6="",ISNUMBER(SEARCH(Search!$N$6,J1946))),OR(Search!$N$7="",ISNUMBER(SEARCH(Search!$N$7,J1946))),OR(Search!$N$8="",ISNUMBER(SEARCH(Search!$N$8,J1946)))),1,0))</f>
        <v>0</v>
      </c>
      <c r="L1946" s="1" t="n">
        <f aca="false">L1945+K1946</f>
        <v>0</v>
      </c>
    </row>
    <row r="1947" customFormat="false" ht="15" hidden="false" customHeight="true" outlineLevel="0" collapsed="false">
      <c r="A1947" s="1" t="s">
        <v>328</v>
      </c>
      <c r="B1947" s="1" t="s">
        <v>4993</v>
      </c>
      <c r="C1947" s="1" t="n">
        <v>55</v>
      </c>
      <c r="E1947" s="1" t="s">
        <v>5031</v>
      </c>
      <c r="F1947" s="1" t="s">
        <v>2156</v>
      </c>
      <c r="G1947" s="1" t="s">
        <v>2772</v>
      </c>
      <c r="H1947" s="1" t="s">
        <v>2688</v>
      </c>
      <c r="I1947" s="1" t="s">
        <v>2172</v>
      </c>
      <c r="J1947" s="1" t="s">
        <v>5220</v>
      </c>
      <c r="K1947" s="1" t="n">
        <f aca="false">IF(Search!$D$5="",0,IF(AND(OR(Search!$N$5="",ISNUMBER(SEARCH(Search!$N$5,J1947))),OR(Search!$N$6="",ISNUMBER(SEARCH(Search!$N$6,J1947))),OR(Search!$N$7="",ISNUMBER(SEARCH(Search!$N$7,J1947))),OR(Search!$N$8="",ISNUMBER(SEARCH(Search!$N$8,J1947)))),1,0))</f>
        <v>0</v>
      </c>
      <c r="L1947" s="1" t="n">
        <f aca="false">L1946+K1947</f>
        <v>0</v>
      </c>
    </row>
    <row r="1948" customFormat="false" ht="15" hidden="false" customHeight="true" outlineLevel="0" collapsed="false">
      <c r="A1948" s="1" t="s">
        <v>328</v>
      </c>
      <c r="B1948" s="1" t="s">
        <v>4993</v>
      </c>
      <c r="C1948" s="1" t="n">
        <v>56</v>
      </c>
      <c r="E1948" s="1" t="s">
        <v>5033</v>
      </c>
      <c r="F1948" s="1" t="s">
        <v>2782</v>
      </c>
      <c r="G1948" s="1" t="s">
        <v>4250</v>
      </c>
      <c r="H1948" s="1" t="s">
        <v>5221</v>
      </c>
      <c r="I1948" s="1" t="s">
        <v>3796</v>
      </c>
      <c r="J1948" s="1" t="s">
        <v>5222</v>
      </c>
      <c r="K1948" s="1" t="n">
        <f aca="false">IF(Search!$D$5="",0,IF(AND(OR(Search!$N$5="",ISNUMBER(SEARCH(Search!$N$5,J1948))),OR(Search!$N$6="",ISNUMBER(SEARCH(Search!$N$6,J1948))),OR(Search!$N$7="",ISNUMBER(SEARCH(Search!$N$7,J1948))),OR(Search!$N$8="",ISNUMBER(SEARCH(Search!$N$8,J1948)))),1,0))</f>
        <v>0</v>
      </c>
      <c r="L1948" s="1" t="n">
        <f aca="false">L1947+K1948</f>
        <v>0</v>
      </c>
    </row>
    <row r="1949" customFormat="false" ht="15" hidden="false" customHeight="true" outlineLevel="0" collapsed="false">
      <c r="A1949" s="1" t="s">
        <v>328</v>
      </c>
      <c r="B1949" s="1" t="s">
        <v>4993</v>
      </c>
      <c r="C1949" s="1" t="n">
        <v>57</v>
      </c>
      <c r="E1949" s="1" t="s">
        <v>5185</v>
      </c>
      <c r="F1949" s="1" t="s">
        <v>736</v>
      </c>
      <c r="G1949" s="1" t="s">
        <v>2717</v>
      </c>
      <c r="H1949" s="1" t="s">
        <v>5055</v>
      </c>
      <c r="I1949" s="1" t="s">
        <v>3832</v>
      </c>
      <c r="J1949" s="1" t="s">
        <v>5223</v>
      </c>
      <c r="K1949" s="1" t="n">
        <f aca="false">IF(Search!$D$5="",0,IF(AND(OR(Search!$N$5="",ISNUMBER(SEARCH(Search!$N$5,J1949))),OR(Search!$N$6="",ISNUMBER(SEARCH(Search!$N$6,J1949))),OR(Search!$N$7="",ISNUMBER(SEARCH(Search!$N$7,J1949))),OR(Search!$N$8="",ISNUMBER(SEARCH(Search!$N$8,J1949)))),1,0))</f>
        <v>0</v>
      </c>
      <c r="L1949" s="1" t="n">
        <f aca="false">L1948+K1949</f>
        <v>0</v>
      </c>
    </row>
    <row r="1950" customFormat="false" ht="15" hidden="false" customHeight="true" outlineLevel="0" collapsed="false">
      <c r="A1950" s="1" t="s">
        <v>328</v>
      </c>
      <c r="B1950" s="1" t="s">
        <v>4993</v>
      </c>
      <c r="C1950" s="1" t="n">
        <v>59</v>
      </c>
      <c r="E1950" s="1" t="s">
        <v>5224</v>
      </c>
      <c r="J1950" s="1" t="s">
        <v>5224</v>
      </c>
      <c r="K1950" s="1" t="n">
        <f aca="false">IF(Search!$D$5="",0,IF(AND(OR(Search!$N$5="",ISNUMBER(SEARCH(Search!$N$5,J1950))),OR(Search!$N$6="",ISNUMBER(SEARCH(Search!$N$6,J1950))),OR(Search!$N$7="",ISNUMBER(SEARCH(Search!$N$7,J1950))),OR(Search!$N$8="",ISNUMBER(SEARCH(Search!$N$8,J1950)))),1,0))</f>
        <v>0</v>
      </c>
      <c r="L1950" s="1" t="n">
        <f aca="false">L1949+K1950</f>
        <v>0</v>
      </c>
    </row>
    <row r="1951" customFormat="false" ht="68.25" hidden="false" customHeight="true" outlineLevel="0" collapsed="false">
      <c r="A1951" s="1" t="s">
        <v>328</v>
      </c>
      <c r="B1951" s="1" t="s">
        <v>4993</v>
      </c>
      <c r="C1951" s="1" t="n">
        <v>60</v>
      </c>
      <c r="E1951" s="1" t="s">
        <v>5017</v>
      </c>
      <c r="F1951" s="46" t="s">
        <v>5225</v>
      </c>
      <c r="G1951" s="46" t="s">
        <v>5226</v>
      </c>
      <c r="H1951" s="46" t="s">
        <v>5227</v>
      </c>
      <c r="I1951" s="46" t="s">
        <v>5228</v>
      </c>
      <c r="J1951" s="46" t="s">
        <v>5229</v>
      </c>
      <c r="K1951" s="1" t="n">
        <f aca="false">IF(Search!$D$5="",0,IF(AND(OR(Search!$N$5="",ISNUMBER(SEARCH(Search!$N$5,J1951))),OR(Search!$N$6="",ISNUMBER(SEARCH(Search!$N$6,J1951))),OR(Search!$N$7="",ISNUMBER(SEARCH(Search!$N$7,J1951))),OR(Search!$N$8="",ISNUMBER(SEARCH(Search!$N$8,J1951)))),1,0))</f>
        <v>0</v>
      </c>
      <c r="L1951" s="1" t="n">
        <f aca="false">L1950+K1951</f>
        <v>0</v>
      </c>
    </row>
    <row r="1952" customFormat="false" ht="15" hidden="false" customHeight="true" outlineLevel="0" collapsed="false">
      <c r="A1952" s="1" t="s">
        <v>328</v>
      </c>
      <c r="B1952" s="1" t="s">
        <v>4993</v>
      </c>
      <c r="C1952" s="1" t="n">
        <v>61</v>
      </c>
      <c r="E1952" s="1" t="s">
        <v>5025</v>
      </c>
      <c r="F1952" s="1" t="s">
        <v>5230</v>
      </c>
      <c r="G1952" s="1" t="s">
        <v>2925</v>
      </c>
      <c r="H1952" s="1" t="s">
        <v>627</v>
      </c>
      <c r="I1952" s="1" t="s">
        <v>5231</v>
      </c>
      <c r="J1952" s="1" t="s">
        <v>5232</v>
      </c>
      <c r="K1952" s="1" t="n">
        <f aca="false">IF(Search!$D$5="",0,IF(AND(OR(Search!$N$5="",ISNUMBER(SEARCH(Search!$N$5,J1952))),OR(Search!$N$6="",ISNUMBER(SEARCH(Search!$N$6,J1952))),OR(Search!$N$7="",ISNUMBER(SEARCH(Search!$N$7,J1952))),OR(Search!$N$8="",ISNUMBER(SEARCH(Search!$N$8,J1952)))),1,0))</f>
        <v>0</v>
      </c>
      <c r="L1952" s="1" t="n">
        <f aca="false">L1951+K1952</f>
        <v>0</v>
      </c>
    </row>
    <row r="1953" customFormat="false" ht="15" hidden="false" customHeight="true" outlineLevel="0" collapsed="false">
      <c r="A1953" s="1" t="s">
        <v>328</v>
      </c>
      <c r="B1953" s="1" t="s">
        <v>4993</v>
      </c>
      <c r="C1953" s="1" t="n">
        <v>62</v>
      </c>
      <c r="E1953" s="1" t="s">
        <v>5027</v>
      </c>
      <c r="F1953" s="1" t="s">
        <v>5233</v>
      </c>
      <c r="G1953" s="1" t="s">
        <v>627</v>
      </c>
      <c r="H1953" s="1" t="s">
        <v>5234</v>
      </c>
      <c r="I1953" s="1" t="s">
        <v>2041</v>
      </c>
      <c r="J1953" s="1" t="s">
        <v>5235</v>
      </c>
      <c r="K1953" s="1" t="n">
        <f aca="false">IF(Search!$D$5="",0,IF(AND(OR(Search!$N$5="",ISNUMBER(SEARCH(Search!$N$5,J1953))),OR(Search!$N$6="",ISNUMBER(SEARCH(Search!$N$6,J1953))),OR(Search!$N$7="",ISNUMBER(SEARCH(Search!$N$7,J1953))),OR(Search!$N$8="",ISNUMBER(SEARCH(Search!$N$8,J1953)))),1,0))</f>
        <v>0</v>
      </c>
      <c r="L1953" s="1" t="n">
        <f aca="false">L1952+K1953</f>
        <v>0</v>
      </c>
    </row>
    <row r="1954" customFormat="false" ht="15" hidden="false" customHeight="true" outlineLevel="0" collapsed="false">
      <c r="A1954" s="1" t="s">
        <v>328</v>
      </c>
      <c r="B1954" s="1" t="s">
        <v>4993</v>
      </c>
      <c r="C1954" s="1" t="n">
        <v>63</v>
      </c>
      <c r="E1954" s="1" t="s">
        <v>5029</v>
      </c>
      <c r="F1954" s="1" t="s">
        <v>5233</v>
      </c>
      <c r="G1954" s="1" t="s">
        <v>5234</v>
      </c>
      <c r="H1954" s="1" t="s">
        <v>2325</v>
      </c>
      <c r="I1954" s="1" t="s">
        <v>585</v>
      </c>
      <c r="J1954" s="1" t="s">
        <v>5236</v>
      </c>
      <c r="K1954" s="1" t="n">
        <f aca="false">IF(Search!$D$5="",0,IF(AND(OR(Search!$N$5="",ISNUMBER(SEARCH(Search!$N$5,J1954))),OR(Search!$N$6="",ISNUMBER(SEARCH(Search!$N$6,J1954))),OR(Search!$N$7="",ISNUMBER(SEARCH(Search!$N$7,J1954))),OR(Search!$N$8="",ISNUMBER(SEARCH(Search!$N$8,J1954)))),1,0))</f>
        <v>0</v>
      </c>
      <c r="L1954" s="1" t="n">
        <f aca="false">L1953+K1954</f>
        <v>0</v>
      </c>
    </row>
    <row r="1955" customFormat="false" ht="15" hidden="false" customHeight="true" outlineLevel="0" collapsed="false">
      <c r="A1955" s="1" t="s">
        <v>328</v>
      </c>
      <c r="B1955" s="1" t="s">
        <v>4993</v>
      </c>
      <c r="C1955" s="1" t="n">
        <v>64</v>
      </c>
      <c r="E1955" s="1" t="s">
        <v>5031</v>
      </c>
      <c r="F1955" s="1" t="s">
        <v>5233</v>
      </c>
      <c r="G1955" s="1" t="s">
        <v>2325</v>
      </c>
      <c r="H1955" s="1" t="s">
        <v>5237</v>
      </c>
      <c r="I1955" s="1" t="s">
        <v>5238</v>
      </c>
      <c r="J1955" s="1" t="s">
        <v>5239</v>
      </c>
      <c r="K1955" s="1" t="n">
        <f aca="false">IF(Search!$D$5="",0,IF(AND(OR(Search!$N$5="",ISNUMBER(SEARCH(Search!$N$5,J1955))),OR(Search!$N$6="",ISNUMBER(SEARCH(Search!$N$6,J1955))),OR(Search!$N$7="",ISNUMBER(SEARCH(Search!$N$7,J1955))),OR(Search!$N$8="",ISNUMBER(SEARCH(Search!$N$8,J1955)))),1,0))</f>
        <v>0</v>
      </c>
      <c r="L1955" s="1" t="n">
        <f aca="false">L1954+K1955</f>
        <v>0</v>
      </c>
    </row>
    <row r="1956" customFormat="false" ht="15" hidden="false" customHeight="true" outlineLevel="0" collapsed="false">
      <c r="A1956" s="1" t="s">
        <v>328</v>
      </c>
      <c r="B1956" s="1" t="s">
        <v>4993</v>
      </c>
      <c r="C1956" s="1" t="n">
        <v>65</v>
      </c>
      <c r="E1956" s="1" t="s">
        <v>5033</v>
      </c>
      <c r="F1956" s="1" t="s">
        <v>5233</v>
      </c>
      <c r="G1956" s="1" t="s">
        <v>5237</v>
      </c>
      <c r="H1956" s="1" t="s">
        <v>5240</v>
      </c>
      <c r="I1956" s="1" t="s">
        <v>5241</v>
      </c>
      <c r="J1956" s="1" t="s">
        <v>5242</v>
      </c>
      <c r="K1956" s="1" t="n">
        <f aca="false">IF(Search!$D$5="",0,IF(AND(OR(Search!$N$5="",ISNUMBER(SEARCH(Search!$N$5,J1956))),OR(Search!$N$6="",ISNUMBER(SEARCH(Search!$N$6,J1956))),OR(Search!$N$7="",ISNUMBER(SEARCH(Search!$N$7,J1956))),OR(Search!$N$8="",ISNUMBER(SEARCH(Search!$N$8,J1956)))),1,0))</f>
        <v>0</v>
      </c>
      <c r="L1956" s="1" t="n">
        <f aca="false">L1955+K1956</f>
        <v>0</v>
      </c>
    </row>
    <row r="1957" customFormat="false" ht="15" hidden="false" customHeight="true" outlineLevel="0" collapsed="false">
      <c r="A1957" s="1" t="s">
        <v>328</v>
      </c>
      <c r="B1957" s="1" t="s">
        <v>4993</v>
      </c>
      <c r="C1957" s="1" t="n">
        <v>66</v>
      </c>
      <c r="E1957" s="1" t="s">
        <v>5185</v>
      </c>
      <c r="F1957" s="1" t="s">
        <v>5230</v>
      </c>
      <c r="G1957" s="1" t="s">
        <v>5243</v>
      </c>
      <c r="H1957" s="1" t="s">
        <v>5243</v>
      </c>
      <c r="I1957" s="1" t="s">
        <v>5244</v>
      </c>
      <c r="J1957" s="1" t="s">
        <v>5245</v>
      </c>
      <c r="K1957" s="1" t="n">
        <f aca="false">IF(Search!$D$5="",0,IF(AND(OR(Search!$N$5="",ISNUMBER(SEARCH(Search!$N$5,J1957))),OR(Search!$N$6="",ISNUMBER(SEARCH(Search!$N$6,J1957))),OR(Search!$N$7="",ISNUMBER(SEARCH(Search!$N$7,J1957))),OR(Search!$N$8="",ISNUMBER(SEARCH(Search!$N$8,J1957)))),1,0))</f>
        <v>0</v>
      </c>
      <c r="L1957" s="1" t="n">
        <f aca="false">L1956+K1957</f>
        <v>0</v>
      </c>
    </row>
    <row r="1958" customFormat="false" ht="15" hidden="false" customHeight="true" outlineLevel="0" collapsed="false">
      <c r="A1958" s="1" t="s">
        <v>328</v>
      </c>
      <c r="B1958" s="1" t="s">
        <v>4993</v>
      </c>
      <c r="C1958" s="1" t="n">
        <v>68</v>
      </c>
      <c r="E1958" s="1" t="s">
        <v>5246</v>
      </c>
      <c r="J1958" s="1" t="s">
        <v>5246</v>
      </c>
      <c r="K1958" s="1" t="n">
        <f aca="false">IF(Search!$D$5="",0,IF(AND(OR(Search!$N$5="",ISNUMBER(SEARCH(Search!$N$5,J1958))),OR(Search!$N$6="",ISNUMBER(SEARCH(Search!$N$6,J1958))),OR(Search!$N$7="",ISNUMBER(SEARCH(Search!$N$7,J1958))),OR(Search!$N$8="",ISNUMBER(SEARCH(Search!$N$8,J1958)))),1,0))</f>
        <v>0</v>
      </c>
      <c r="L1958" s="1" t="n">
        <f aca="false">L1957+K1958</f>
        <v>0</v>
      </c>
    </row>
    <row r="1959" customFormat="false" ht="68.25" hidden="false" customHeight="true" outlineLevel="0" collapsed="false">
      <c r="A1959" s="1" t="s">
        <v>328</v>
      </c>
      <c r="B1959" s="1" t="s">
        <v>4993</v>
      </c>
      <c r="C1959" s="1" t="n">
        <v>69</v>
      </c>
      <c r="E1959" s="1" t="s">
        <v>5017</v>
      </c>
      <c r="F1959" s="46" t="s">
        <v>5036</v>
      </c>
      <c r="G1959" s="46" t="s">
        <v>5247</v>
      </c>
      <c r="H1959" s="46" t="s">
        <v>5248</v>
      </c>
      <c r="I1959" s="46" t="s">
        <v>5249</v>
      </c>
      <c r="J1959" s="46" t="s">
        <v>5250</v>
      </c>
      <c r="K1959" s="1" t="n">
        <f aca="false">IF(Search!$D$5="",0,IF(AND(OR(Search!$N$5="",ISNUMBER(SEARCH(Search!$N$5,J1959))),OR(Search!$N$6="",ISNUMBER(SEARCH(Search!$N$6,J1959))),OR(Search!$N$7="",ISNUMBER(SEARCH(Search!$N$7,J1959))),OR(Search!$N$8="",ISNUMBER(SEARCH(Search!$N$8,J1959)))),1,0))</f>
        <v>0</v>
      </c>
      <c r="L1959" s="1" t="n">
        <f aca="false">L1958+K1959</f>
        <v>0</v>
      </c>
    </row>
    <row r="1960" customFormat="false" ht="15" hidden="false" customHeight="true" outlineLevel="0" collapsed="false">
      <c r="A1960" s="1" t="s">
        <v>328</v>
      </c>
      <c r="B1960" s="1" t="s">
        <v>4993</v>
      </c>
      <c r="C1960" s="1" t="n">
        <v>70</v>
      </c>
      <c r="E1960" s="1" t="s">
        <v>5025</v>
      </c>
      <c r="F1960" s="1" t="s">
        <v>2820</v>
      </c>
      <c r="G1960" s="1" t="s">
        <v>1904</v>
      </c>
      <c r="H1960" s="1" t="s">
        <v>4057</v>
      </c>
      <c r="I1960" s="1" t="s">
        <v>1919</v>
      </c>
      <c r="J1960" s="1" t="s">
        <v>5251</v>
      </c>
      <c r="K1960" s="1" t="n">
        <f aca="false">IF(Search!$D$5="",0,IF(AND(OR(Search!$N$5="",ISNUMBER(SEARCH(Search!$N$5,J1960))),OR(Search!$N$6="",ISNUMBER(SEARCH(Search!$N$6,J1960))),OR(Search!$N$7="",ISNUMBER(SEARCH(Search!$N$7,J1960))),OR(Search!$N$8="",ISNUMBER(SEARCH(Search!$N$8,J1960)))),1,0))</f>
        <v>0</v>
      </c>
      <c r="L1960" s="1" t="n">
        <f aca="false">L1959+K1960</f>
        <v>0</v>
      </c>
    </row>
    <row r="1961" customFormat="false" ht="15" hidden="false" customHeight="true" outlineLevel="0" collapsed="false">
      <c r="A1961" s="1" t="s">
        <v>328</v>
      </c>
      <c r="B1961" s="1" t="s">
        <v>4993</v>
      </c>
      <c r="C1961" s="1" t="n">
        <v>71</v>
      </c>
      <c r="E1961" s="1" t="s">
        <v>5027</v>
      </c>
      <c r="F1961" s="1" t="s">
        <v>2704</v>
      </c>
      <c r="G1961" s="1" t="s">
        <v>2015</v>
      </c>
      <c r="H1961" s="1" t="s">
        <v>3251</v>
      </c>
      <c r="I1961" s="1" t="s">
        <v>1929</v>
      </c>
      <c r="J1961" s="1" t="s">
        <v>5252</v>
      </c>
      <c r="K1961" s="1" t="n">
        <f aca="false">IF(Search!$D$5="",0,IF(AND(OR(Search!$N$5="",ISNUMBER(SEARCH(Search!$N$5,J1961))),OR(Search!$N$6="",ISNUMBER(SEARCH(Search!$N$6,J1961))),OR(Search!$N$7="",ISNUMBER(SEARCH(Search!$N$7,J1961))),OR(Search!$N$8="",ISNUMBER(SEARCH(Search!$N$8,J1961)))),1,0))</f>
        <v>0</v>
      </c>
      <c r="L1961" s="1" t="n">
        <f aca="false">L1960+K1961</f>
        <v>0</v>
      </c>
    </row>
    <row r="1962" customFormat="false" ht="15" hidden="false" customHeight="true" outlineLevel="0" collapsed="false">
      <c r="A1962" s="1" t="s">
        <v>328</v>
      </c>
      <c r="B1962" s="1" t="s">
        <v>4993</v>
      </c>
      <c r="C1962" s="1" t="n">
        <v>72</v>
      </c>
      <c r="E1962" s="1" t="s">
        <v>5029</v>
      </c>
      <c r="F1962" s="1" t="s">
        <v>3241</v>
      </c>
      <c r="G1962" s="1" t="s">
        <v>585</v>
      </c>
      <c r="H1962" s="1" t="s">
        <v>2501</v>
      </c>
      <c r="I1962" s="1" t="s">
        <v>3547</v>
      </c>
      <c r="J1962" s="1" t="s">
        <v>5253</v>
      </c>
      <c r="K1962" s="1" t="n">
        <f aca="false">IF(Search!$D$5="",0,IF(AND(OR(Search!$N$5="",ISNUMBER(SEARCH(Search!$N$5,J1962))),OR(Search!$N$6="",ISNUMBER(SEARCH(Search!$N$6,J1962))),OR(Search!$N$7="",ISNUMBER(SEARCH(Search!$N$7,J1962))),OR(Search!$N$8="",ISNUMBER(SEARCH(Search!$N$8,J1962)))),1,0))</f>
        <v>0</v>
      </c>
      <c r="L1962" s="1" t="n">
        <f aca="false">L1961+K1962</f>
        <v>0</v>
      </c>
    </row>
    <row r="1963" customFormat="false" ht="15" hidden="false" customHeight="true" outlineLevel="0" collapsed="false">
      <c r="A1963" s="1" t="s">
        <v>328</v>
      </c>
      <c r="B1963" s="1" t="s">
        <v>4993</v>
      </c>
      <c r="C1963" s="1" t="n">
        <v>73</v>
      </c>
      <c r="E1963" s="1" t="s">
        <v>5031</v>
      </c>
      <c r="F1963" s="1" t="s">
        <v>2710</v>
      </c>
      <c r="G1963" s="1" t="s">
        <v>587</v>
      </c>
      <c r="H1963" s="1" t="s">
        <v>2081</v>
      </c>
      <c r="I1963" s="1" t="s">
        <v>1410</v>
      </c>
      <c r="J1963" s="1" t="s">
        <v>5254</v>
      </c>
      <c r="K1963" s="1" t="n">
        <f aca="false">IF(Search!$D$5="",0,IF(AND(OR(Search!$N$5="",ISNUMBER(SEARCH(Search!$N$5,J1963))),OR(Search!$N$6="",ISNUMBER(SEARCH(Search!$N$6,J1963))),OR(Search!$N$7="",ISNUMBER(SEARCH(Search!$N$7,J1963))),OR(Search!$N$8="",ISNUMBER(SEARCH(Search!$N$8,J1963)))),1,0))</f>
        <v>0</v>
      </c>
      <c r="L1963" s="1" t="n">
        <f aca="false">L1962+K1963</f>
        <v>0</v>
      </c>
    </row>
    <row r="1964" customFormat="false" ht="15" hidden="false" customHeight="true" outlineLevel="0" collapsed="false">
      <c r="A1964" s="1" t="s">
        <v>328</v>
      </c>
      <c r="B1964" s="1" t="s">
        <v>4993</v>
      </c>
      <c r="C1964" s="1" t="n">
        <v>74</v>
      </c>
      <c r="E1964" s="1" t="s">
        <v>5033</v>
      </c>
      <c r="F1964" s="1" t="s">
        <v>3712</v>
      </c>
      <c r="G1964" s="1" t="s">
        <v>478</v>
      </c>
      <c r="H1964" s="1" t="s">
        <v>579</v>
      </c>
      <c r="I1964" s="1" t="s">
        <v>1660</v>
      </c>
      <c r="J1964" s="1" t="s">
        <v>5255</v>
      </c>
      <c r="K1964" s="1" t="n">
        <f aca="false">IF(Search!$D$5="",0,IF(AND(OR(Search!$N$5="",ISNUMBER(SEARCH(Search!$N$5,J1964))),OR(Search!$N$6="",ISNUMBER(SEARCH(Search!$N$6,J1964))),OR(Search!$N$7="",ISNUMBER(SEARCH(Search!$N$7,J1964))),OR(Search!$N$8="",ISNUMBER(SEARCH(Search!$N$8,J1964)))),1,0))</f>
        <v>0</v>
      </c>
      <c r="L1964" s="1" t="n">
        <f aca="false">L1963+K1964</f>
        <v>0</v>
      </c>
    </row>
    <row r="1965" customFormat="false" ht="15" hidden="false" customHeight="true" outlineLevel="0" collapsed="false">
      <c r="A1965" s="1" t="s">
        <v>328</v>
      </c>
      <c r="B1965" s="1" t="s">
        <v>4993</v>
      </c>
      <c r="C1965" s="1" t="n">
        <v>75</v>
      </c>
      <c r="E1965" s="1" t="s">
        <v>5185</v>
      </c>
      <c r="F1965" s="1" t="s">
        <v>5186</v>
      </c>
      <c r="G1965" s="1" t="s">
        <v>5256</v>
      </c>
      <c r="H1965" s="1" t="s">
        <v>1959</v>
      </c>
      <c r="I1965" s="1" t="s">
        <v>3206</v>
      </c>
      <c r="J1965" s="1" t="s">
        <v>5257</v>
      </c>
      <c r="K1965" s="1" t="n">
        <f aca="false">IF(Search!$D$5="",0,IF(AND(OR(Search!$N$5="",ISNUMBER(SEARCH(Search!$N$5,J1965))),OR(Search!$N$6="",ISNUMBER(SEARCH(Search!$N$6,J1965))),OR(Search!$N$7="",ISNUMBER(SEARCH(Search!$N$7,J1965))),OR(Search!$N$8="",ISNUMBER(SEARCH(Search!$N$8,J1965)))),1,0))</f>
        <v>0</v>
      </c>
      <c r="L1965" s="1" t="n">
        <f aca="false">L1964+K1965</f>
        <v>0</v>
      </c>
    </row>
    <row r="1966" customFormat="false" ht="15" hidden="false" customHeight="true" outlineLevel="0" collapsed="false">
      <c r="A1966" s="1" t="s">
        <v>328</v>
      </c>
      <c r="B1966" s="1" t="s">
        <v>4993</v>
      </c>
      <c r="C1966" s="1" t="n">
        <v>77</v>
      </c>
      <c r="E1966" s="1" t="s">
        <v>5258</v>
      </c>
      <c r="J1966" s="1" t="s">
        <v>5258</v>
      </c>
      <c r="K1966" s="1" t="n">
        <f aca="false">IF(Search!$D$5="",0,IF(AND(OR(Search!$N$5="",ISNUMBER(SEARCH(Search!$N$5,J1966))),OR(Search!$N$6="",ISNUMBER(SEARCH(Search!$N$6,J1966))),OR(Search!$N$7="",ISNUMBER(SEARCH(Search!$N$7,J1966))),OR(Search!$N$8="",ISNUMBER(SEARCH(Search!$N$8,J1966)))),1,0))</f>
        <v>0</v>
      </c>
      <c r="L1966" s="1" t="n">
        <f aca="false">L1965+K1966</f>
        <v>0</v>
      </c>
    </row>
    <row r="1967" customFormat="false" ht="15" hidden="false" customHeight="true" outlineLevel="0" collapsed="false">
      <c r="A1967" s="1" t="s">
        <v>331</v>
      </c>
      <c r="B1967" s="1" t="s">
        <v>4993</v>
      </c>
      <c r="C1967" s="1" t="n">
        <v>2</v>
      </c>
      <c r="E1967" s="1" t="s">
        <v>5259</v>
      </c>
      <c r="J1967" s="1" t="s">
        <v>5259</v>
      </c>
      <c r="K1967" s="1" t="n">
        <f aca="false">IF(Search!$D$5="",0,IF(AND(OR(Search!$N$5="",ISNUMBER(SEARCH(Search!$N$5,J1967))),OR(Search!$N$6="",ISNUMBER(SEARCH(Search!$N$6,J1967))),OR(Search!$N$7="",ISNUMBER(SEARCH(Search!$N$7,J1967))),OR(Search!$N$8="",ISNUMBER(SEARCH(Search!$N$8,J1967)))),1,0))</f>
        <v>0</v>
      </c>
      <c r="L1967" s="1" t="n">
        <f aca="false">L1966+K1967</f>
        <v>0</v>
      </c>
    </row>
    <row r="1968" customFormat="false" ht="15" hidden="false" customHeight="true" outlineLevel="0" collapsed="false">
      <c r="A1968" s="1" t="s">
        <v>331</v>
      </c>
      <c r="B1968" s="1" t="s">
        <v>4993</v>
      </c>
      <c r="C1968" s="1" t="n">
        <v>3</v>
      </c>
      <c r="E1968" s="1" t="s">
        <v>5260</v>
      </c>
      <c r="J1968" s="1" t="s">
        <v>5260</v>
      </c>
      <c r="K1968" s="1" t="n">
        <f aca="false">IF(Search!$D$5="",0,IF(AND(OR(Search!$N$5="",ISNUMBER(SEARCH(Search!$N$5,J1968))),OR(Search!$N$6="",ISNUMBER(SEARCH(Search!$N$6,J1968))),OR(Search!$N$7="",ISNUMBER(SEARCH(Search!$N$7,J1968))),OR(Search!$N$8="",ISNUMBER(SEARCH(Search!$N$8,J1968)))),1,0))</f>
        <v>0</v>
      </c>
      <c r="L1968" s="1" t="n">
        <f aca="false">L1967+K1968</f>
        <v>0</v>
      </c>
    </row>
    <row r="1969" customFormat="false" ht="15" hidden="false" customHeight="true" outlineLevel="0" collapsed="false">
      <c r="A1969" s="1" t="s">
        <v>331</v>
      </c>
      <c r="B1969" s="1" t="s">
        <v>4993</v>
      </c>
      <c r="C1969" s="1" t="n">
        <v>4</v>
      </c>
      <c r="E1969" s="1" t="s">
        <v>5261</v>
      </c>
      <c r="J1969" s="1" t="s">
        <v>5261</v>
      </c>
      <c r="K1969" s="1" t="n">
        <f aca="false">IF(Search!$D$5="",0,IF(AND(OR(Search!$N$5="",ISNUMBER(SEARCH(Search!$N$5,J1969))),OR(Search!$N$6="",ISNUMBER(SEARCH(Search!$N$6,J1969))),OR(Search!$N$7="",ISNUMBER(SEARCH(Search!$N$7,J1969))),OR(Search!$N$8="",ISNUMBER(SEARCH(Search!$N$8,J1969)))),1,0))</f>
        <v>0</v>
      </c>
      <c r="L1969" s="1" t="n">
        <f aca="false">L1968+K1969</f>
        <v>0</v>
      </c>
    </row>
    <row r="1970" customFormat="false" ht="15" hidden="false" customHeight="true" outlineLevel="0" collapsed="false">
      <c r="A1970" s="1" t="s">
        <v>331</v>
      </c>
      <c r="B1970" s="1" t="s">
        <v>4993</v>
      </c>
      <c r="C1970" s="1" t="n">
        <v>6</v>
      </c>
      <c r="E1970" s="1" t="s">
        <v>5262</v>
      </c>
      <c r="J1970" s="1" t="s">
        <v>5262</v>
      </c>
      <c r="K1970" s="1" t="n">
        <f aca="false">IF(Search!$D$5="",0,IF(AND(OR(Search!$N$5="",ISNUMBER(SEARCH(Search!$N$5,J1970))),OR(Search!$N$6="",ISNUMBER(SEARCH(Search!$N$6,J1970))),OR(Search!$N$7="",ISNUMBER(SEARCH(Search!$N$7,J1970))),OR(Search!$N$8="",ISNUMBER(SEARCH(Search!$N$8,J1970)))),1,0))</f>
        <v>0</v>
      </c>
      <c r="L1970" s="1" t="n">
        <f aca="false">L1969+K1970</f>
        <v>0</v>
      </c>
    </row>
    <row r="1971" customFormat="false" ht="15" hidden="false" customHeight="true" outlineLevel="0" collapsed="false">
      <c r="A1971" s="1" t="s">
        <v>331</v>
      </c>
      <c r="B1971" s="1" t="s">
        <v>4993</v>
      </c>
      <c r="C1971" s="1" t="n">
        <v>7</v>
      </c>
      <c r="E1971" s="1" t="s">
        <v>5263</v>
      </c>
      <c r="F1971" s="1" t="s">
        <v>5264</v>
      </c>
      <c r="G1971" s="1" t="s">
        <v>5265</v>
      </c>
      <c r="H1971" s="1" t="s">
        <v>5266</v>
      </c>
      <c r="J1971" s="1" t="s">
        <v>5267</v>
      </c>
      <c r="K1971" s="1" t="n">
        <f aca="false">IF(Search!$D$5="",0,IF(AND(OR(Search!$N$5="",ISNUMBER(SEARCH(Search!$N$5,J1971))),OR(Search!$N$6="",ISNUMBER(SEARCH(Search!$N$6,J1971))),OR(Search!$N$7="",ISNUMBER(SEARCH(Search!$N$7,J1971))),OR(Search!$N$8="",ISNUMBER(SEARCH(Search!$N$8,J1971)))),1,0))</f>
        <v>0</v>
      </c>
      <c r="L1971" s="1" t="n">
        <f aca="false">L1970+K1971</f>
        <v>0</v>
      </c>
    </row>
    <row r="1972" customFormat="false" ht="15" hidden="false" customHeight="true" outlineLevel="0" collapsed="false">
      <c r="A1972" s="1" t="s">
        <v>331</v>
      </c>
      <c r="B1972" s="1" t="s">
        <v>4993</v>
      </c>
      <c r="C1972" s="1" t="n">
        <v>8</v>
      </c>
      <c r="E1972" s="1" t="s">
        <v>5268</v>
      </c>
      <c r="F1972" s="1" t="s">
        <v>5269</v>
      </c>
      <c r="G1972" s="1" t="s">
        <v>5270</v>
      </c>
      <c r="H1972" s="1" t="s">
        <v>5271</v>
      </c>
      <c r="J1972" s="1" t="s">
        <v>5272</v>
      </c>
      <c r="K1972" s="1" t="n">
        <f aca="false">IF(Search!$D$5="",0,IF(AND(OR(Search!$N$5="",ISNUMBER(SEARCH(Search!$N$5,J1972))),OR(Search!$N$6="",ISNUMBER(SEARCH(Search!$N$6,J1972))),OR(Search!$N$7="",ISNUMBER(SEARCH(Search!$N$7,J1972))),OR(Search!$N$8="",ISNUMBER(SEARCH(Search!$N$8,J1972)))),1,0))</f>
        <v>0</v>
      </c>
      <c r="L1972" s="1" t="n">
        <f aca="false">L1971+K1972</f>
        <v>0</v>
      </c>
    </row>
    <row r="1973" customFormat="false" ht="15" hidden="false" customHeight="true" outlineLevel="0" collapsed="false">
      <c r="A1973" s="1" t="s">
        <v>331</v>
      </c>
      <c r="B1973" s="1" t="s">
        <v>4993</v>
      </c>
      <c r="C1973" s="1" t="n">
        <v>9</v>
      </c>
      <c r="E1973" s="1" t="s">
        <v>5273</v>
      </c>
      <c r="F1973" s="1" t="s">
        <v>5274</v>
      </c>
      <c r="G1973" s="1" t="s">
        <v>5275</v>
      </c>
      <c r="H1973" s="1" t="s">
        <v>5276</v>
      </c>
      <c r="J1973" s="1" t="s">
        <v>5277</v>
      </c>
      <c r="K1973" s="1" t="n">
        <f aca="false">IF(Search!$D$5="",0,IF(AND(OR(Search!$N$5="",ISNUMBER(SEARCH(Search!$N$5,J1973))),OR(Search!$N$6="",ISNUMBER(SEARCH(Search!$N$6,J1973))),OR(Search!$N$7="",ISNUMBER(SEARCH(Search!$N$7,J1973))),OR(Search!$N$8="",ISNUMBER(SEARCH(Search!$N$8,J1973)))),1,0))</f>
        <v>0</v>
      </c>
      <c r="L1973" s="1" t="n">
        <f aca="false">L1972+K1973</f>
        <v>0</v>
      </c>
    </row>
    <row r="1974" customFormat="false" ht="15" hidden="false" customHeight="true" outlineLevel="0" collapsed="false">
      <c r="A1974" s="1" t="s">
        <v>331</v>
      </c>
      <c r="B1974" s="1" t="s">
        <v>4993</v>
      </c>
      <c r="C1974" s="1" t="n">
        <v>10</v>
      </c>
      <c r="E1974" s="1" t="s">
        <v>5278</v>
      </c>
      <c r="F1974" s="1" t="s">
        <v>5279</v>
      </c>
      <c r="G1974" s="1" t="s">
        <v>5275</v>
      </c>
      <c r="H1974" s="1" t="s">
        <v>5280</v>
      </c>
      <c r="J1974" s="1" t="s">
        <v>5281</v>
      </c>
      <c r="K1974" s="1" t="n">
        <f aca="false">IF(Search!$D$5="",0,IF(AND(OR(Search!$N$5="",ISNUMBER(SEARCH(Search!$N$5,J1974))),OR(Search!$N$6="",ISNUMBER(SEARCH(Search!$N$6,J1974))),OR(Search!$N$7="",ISNUMBER(SEARCH(Search!$N$7,J1974))),OR(Search!$N$8="",ISNUMBER(SEARCH(Search!$N$8,J1974)))),1,0))</f>
        <v>0</v>
      </c>
      <c r="L1974" s="1" t="n">
        <f aca="false">L1973+K1974</f>
        <v>0</v>
      </c>
    </row>
    <row r="1975" customFormat="false" ht="15" hidden="false" customHeight="true" outlineLevel="0" collapsed="false">
      <c r="A1975" s="1" t="s">
        <v>331</v>
      </c>
      <c r="B1975" s="1" t="s">
        <v>4993</v>
      </c>
      <c r="C1975" s="1" t="n">
        <v>11</v>
      </c>
      <c r="E1975" s="1" t="s">
        <v>5282</v>
      </c>
      <c r="F1975" s="1" t="s">
        <v>5283</v>
      </c>
      <c r="G1975" s="1" t="s">
        <v>5270</v>
      </c>
      <c r="H1975" s="1" t="s">
        <v>5284</v>
      </c>
      <c r="J1975" s="1" t="s">
        <v>5285</v>
      </c>
      <c r="K1975" s="1" t="n">
        <f aca="false">IF(Search!$D$5="",0,IF(AND(OR(Search!$N$5="",ISNUMBER(SEARCH(Search!$N$5,J1975))),OR(Search!$N$6="",ISNUMBER(SEARCH(Search!$N$6,J1975))),OR(Search!$N$7="",ISNUMBER(SEARCH(Search!$N$7,J1975))),OR(Search!$N$8="",ISNUMBER(SEARCH(Search!$N$8,J1975)))),1,0))</f>
        <v>0</v>
      </c>
      <c r="L1975" s="1" t="n">
        <f aca="false">L1974+K1975</f>
        <v>0</v>
      </c>
    </row>
    <row r="1976" customFormat="false" ht="15" hidden="false" customHeight="true" outlineLevel="0" collapsed="false">
      <c r="A1976" s="1" t="s">
        <v>331</v>
      </c>
      <c r="B1976" s="1" t="s">
        <v>4993</v>
      </c>
      <c r="C1976" s="1" t="n">
        <v>12</v>
      </c>
      <c r="E1976" s="1" t="s">
        <v>5286</v>
      </c>
      <c r="F1976" s="1" t="s">
        <v>5287</v>
      </c>
      <c r="G1976" s="1" t="s">
        <v>5270</v>
      </c>
      <c r="H1976" s="1" t="s">
        <v>5288</v>
      </c>
      <c r="J1976" s="1" t="s">
        <v>5289</v>
      </c>
      <c r="K1976" s="1" t="n">
        <f aca="false">IF(Search!$D$5="",0,IF(AND(OR(Search!$N$5="",ISNUMBER(SEARCH(Search!$N$5,J1976))),OR(Search!$N$6="",ISNUMBER(SEARCH(Search!$N$6,J1976))),OR(Search!$N$7="",ISNUMBER(SEARCH(Search!$N$7,J1976))),OR(Search!$N$8="",ISNUMBER(SEARCH(Search!$N$8,J1976)))),1,0))</f>
        <v>0</v>
      </c>
      <c r="L1976" s="1" t="n">
        <f aca="false">L1975+K1976</f>
        <v>0</v>
      </c>
    </row>
    <row r="1977" customFormat="false" ht="15" hidden="false" customHeight="true" outlineLevel="0" collapsed="false">
      <c r="A1977" s="1" t="s">
        <v>331</v>
      </c>
      <c r="B1977" s="1" t="s">
        <v>4993</v>
      </c>
      <c r="C1977" s="1" t="n">
        <v>13</v>
      </c>
      <c r="E1977" s="1" t="s">
        <v>5290</v>
      </c>
      <c r="F1977" s="1" t="s">
        <v>5274</v>
      </c>
      <c r="G1977" s="1" t="s">
        <v>5275</v>
      </c>
      <c r="H1977" s="1" t="s">
        <v>5291</v>
      </c>
      <c r="J1977" s="1" t="s">
        <v>5292</v>
      </c>
      <c r="K1977" s="1" t="n">
        <f aca="false">IF(Search!$D$5="",0,IF(AND(OR(Search!$N$5="",ISNUMBER(SEARCH(Search!$N$5,J1977))),OR(Search!$N$6="",ISNUMBER(SEARCH(Search!$N$6,J1977))),OR(Search!$N$7="",ISNUMBER(SEARCH(Search!$N$7,J1977))),OR(Search!$N$8="",ISNUMBER(SEARCH(Search!$N$8,J1977)))),1,0))</f>
        <v>0</v>
      </c>
      <c r="L1977" s="1" t="n">
        <f aca="false">L1976+K1977</f>
        <v>0</v>
      </c>
    </row>
    <row r="1978" customFormat="false" ht="15" hidden="false" customHeight="true" outlineLevel="0" collapsed="false">
      <c r="A1978" s="1" t="s">
        <v>331</v>
      </c>
      <c r="B1978" s="1" t="s">
        <v>4993</v>
      </c>
      <c r="C1978" s="1" t="n">
        <v>14</v>
      </c>
      <c r="E1978" s="1" t="s">
        <v>5293</v>
      </c>
      <c r="F1978" s="1" t="s">
        <v>5287</v>
      </c>
      <c r="G1978" s="1" t="s">
        <v>5270</v>
      </c>
      <c r="H1978" s="1" t="s">
        <v>5291</v>
      </c>
      <c r="J1978" s="1" t="s">
        <v>5294</v>
      </c>
      <c r="K1978" s="1" t="n">
        <f aca="false">IF(Search!$D$5="",0,IF(AND(OR(Search!$N$5="",ISNUMBER(SEARCH(Search!$N$5,J1978))),OR(Search!$N$6="",ISNUMBER(SEARCH(Search!$N$6,J1978))),OR(Search!$N$7="",ISNUMBER(SEARCH(Search!$N$7,J1978))),OR(Search!$N$8="",ISNUMBER(SEARCH(Search!$N$8,J1978)))),1,0))</f>
        <v>0</v>
      </c>
      <c r="L1978" s="1" t="n">
        <f aca="false">L1977+K1978</f>
        <v>0</v>
      </c>
    </row>
    <row r="1979" customFormat="false" ht="15" hidden="false" customHeight="true" outlineLevel="0" collapsed="false">
      <c r="A1979" s="1" t="s">
        <v>331</v>
      </c>
      <c r="B1979" s="1" t="s">
        <v>4993</v>
      </c>
      <c r="C1979" s="1" t="n">
        <v>16</v>
      </c>
      <c r="E1979" s="1" t="s">
        <v>5295</v>
      </c>
      <c r="J1979" s="1" t="s">
        <v>5295</v>
      </c>
      <c r="K1979" s="1" t="n">
        <f aca="false">IF(Search!$D$5="",0,IF(AND(OR(Search!$N$5="",ISNUMBER(SEARCH(Search!$N$5,J1979))),OR(Search!$N$6="",ISNUMBER(SEARCH(Search!$N$6,J1979))),OR(Search!$N$7="",ISNUMBER(SEARCH(Search!$N$7,J1979))),OR(Search!$N$8="",ISNUMBER(SEARCH(Search!$N$8,J1979)))),1,0))</f>
        <v>0</v>
      </c>
      <c r="L1979" s="1" t="n">
        <f aca="false">L1978+K1979</f>
        <v>0</v>
      </c>
    </row>
    <row r="1980" customFormat="false" ht="68.25" hidden="false" customHeight="true" outlineLevel="0" collapsed="false">
      <c r="A1980" s="1" t="s">
        <v>331</v>
      </c>
      <c r="B1980" s="1" t="s">
        <v>4993</v>
      </c>
      <c r="C1980" s="1" t="n">
        <v>17</v>
      </c>
      <c r="E1980" s="1" t="s">
        <v>5296</v>
      </c>
      <c r="F1980" s="46" t="s">
        <v>5297</v>
      </c>
      <c r="G1980" s="46" t="s">
        <v>5298</v>
      </c>
      <c r="H1980" s="46" t="s">
        <v>5299</v>
      </c>
      <c r="I1980" s="46" t="s">
        <v>5300</v>
      </c>
      <c r="J1980" s="46" t="s">
        <v>5301</v>
      </c>
      <c r="K1980" s="1" t="n">
        <f aca="false">IF(Search!$D$5="",0,IF(AND(OR(Search!$N$5="",ISNUMBER(SEARCH(Search!$N$5,J1980))),OR(Search!$N$6="",ISNUMBER(SEARCH(Search!$N$6,J1980))),OR(Search!$N$7="",ISNUMBER(SEARCH(Search!$N$7,J1980))),OR(Search!$N$8="",ISNUMBER(SEARCH(Search!$N$8,J1980)))),1,0))</f>
        <v>0</v>
      </c>
      <c r="L1980" s="1" t="n">
        <f aca="false">L1979+K1980</f>
        <v>0</v>
      </c>
    </row>
    <row r="1981" customFormat="false" ht="15" hidden="false" customHeight="true" outlineLevel="0" collapsed="false">
      <c r="A1981" s="1" t="s">
        <v>331</v>
      </c>
      <c r="B1981" s="1" t="s">
        <v>4993</v>
      </c>
      <c r="C1981" s="1" t="n">
        <v>18</v>
      </c>
      <c r="E1981" s="1" t="s">
        <v>5025</v>
      </c>
      <c r="F1981" s="1" t="s">
        <v>520</v>
      </c>
      <c r="G1981" s="1" t="s">
        <v>520</v>
      </c>
      <c r="H1981" s="1" t="s">
        <v>524</v>
      </c>
      <c r="I1981" s="1" t="s">
        <v>520</v>
      </c>
      <c r="J1981" s="1" t="s">
        <v>5302</v>
      </c>
      <c r="K1981" s="1" t="n">
        <f aca="false">IF(Search!$D$5="",0,IF(AND(OR(Search!$N$5="",ISNUMBER(SEARCH(Search!$N$5,J1981))),OR(Search!$N$6="",ISNUMBER(SEARCH(Search!$N$6,J1981))),OR(Search!$N$7="",ISNUMBER(SEARCH(Search!$N$7,J1981))),OR(Search!$N$8="",ISNUMBER(SEARCH(Search!$N$8,J1981)))),1,0))</f>
        <v>0</v>
      </c>
      <c r="L1981" s="1" t="n">
        <f aca="false">L1980+K1981</f>
        <v>0</v>
      </c>
    </row>
    <row r="1982" customFormat="false" ht="15" hidden="false" customHeight="true" outlineLevel="0" collapsed="false">
      <c r="A1982" s="1" t="s">
        <v>331</v>
      </c>
      <c r="B1982" s="1" t="s">
        <v>4993</v>
      </c>
      <c r="C1982" s="1" t="n">
        <v>19</v>
      </c>
      <c r="E1982" s="1" t="s">
        <v>5027</v>
      </c>
      <c r="F1982" s="1" t="s">
        <v>520</v>
      </c>
      <c r="G1982" s="1" t="s">
        <v>520</v>
      </c>
      <c r="H1982" s="1" t="s">
        <v>524</v>
      </c>
      <c r="I1982" s="1" t="s">
        <v>520</v>
      </c>
      <c r="J1982" s="1" t="s">
        <v>5303</v>
      </c>
      <c r="K1982" s="1" t="n">
        <f aca="false">IF(Search!$D$5="",0,IF(AND(OR(Search!$N$5="",ISNUMBER(SEARCH(Search!$N$5,J1982))),OR(Search!$N$6="",ISNUMBER(SEARCH(Search!$N$6,J1982))),OR(Search!$N$7="",ISNUMBER(SEARCH(Search!$N$7,J1982))),OR(Search!$N$8="",ISNUMBER(SEARCH(Search!$N$8,J1982)))),1,0))</f>
        <v>0</v>
      </c>
      <c r="L1982" s="1" t="n">
        <f aca="false">L1981+K1982</f>
        <v>0</v>
      </c>
    </row>
    <row r="1983" customFormat="false" ht="15" hidden="false" customHeight="true" outlineLevel="0" collapsed="false">
      <c r="A1983" s="1" t="s">
        <v>331</v>
      </c>
      <c r="B1983" s="1" t="s">
        <v>4993</v>
      </c>
      <c r="C1983" s="1" t="n">
        <v>20</v>
      </c>
      <c r="E1983" s="1" t="s">
        <v>5029</v>
      </c>
      <c r="F1983" s="1" t="s">
        <v>520</v>
      </c>
      <c r="G1983" s="1" t="s">
        <v>520</v>
      </c>
      <c r="H1983" s="1" t="s">
        <v>520</v>
      </c>
      <c r="I1983" s="1" t="s">
        <v>520</v>
      </c>
      <c r="J1983" s="1" t="s">
        <v>5304</v>
      </c>
      <c r="K1983" s="1" t="n">
        <f aca="false">IF(Search!$D$5="",0,IF(AND(OR(Search!$N$5="",ISNUMBER(SEARCH(Search!$N$5,J1983))),OR(Search!$N$6="",ISNUMBER(SEARCH(Search!$N$6,J1983))),OR(Search!$N$7="",ISNUMBER(SEARCH(Search!$N$7,J1983))),OR(Search!$N$8="",ISNUMBER(SEARCH(Search!$N$8,J1983)))),1,0))</f>
        <v>0</v>
      </c>
      <c r="L1983" s="1" t="n">
        <f aca="false">L1982+K1983</f>
        <v>0</v>
      </c>
    </row>
    <row r="1984" customFormat="false" ht="15" hidden="false" customHeight="true" outlineLevel="0" collapsed="false">
      <c r="A1984" s="1" t="s">
        <v>331</v>
      </c>
      <c r="B1984" s="1" t="s">
        <v>4993</v>
      </c>
      <c r="C1984" s="1" t="n">
        <v>21</v>
      </c>
      <c r="E1984" s="1" t="s">
        <v>5031</v>
      </c>
      <c r="F1984" s="1" t="s">
        <v>520</v>
      </c>
      <c r="G1984" s="1" t="s">
        <v>520</v>
      </c>
      <c r="H1984" s="1" t="s">
        <v>520</v>
      </c>
      <c r="I1984" s="1" t="s">
        <v>520</v>
      </c>
      <c r="J1984" s="1" t="s">
        <v>5305</v>
      </c>
      <c r="K1984" s="1" t="n">
        <f aca="false">IF(Search!$D$5="",0,IF(AND(OR(Search!$N$5="",ISNUMBER(SEARCH(Search!$N$5,J1984))),OR(Search!$N$6="",ISNUMBER(SEARCH(Search!$N$6,J1984))),OR(Search!$N$7="",ISNUMBER(SEARCH(Search!$N$7,J1984))),OR(Search!$N$8="",ISNUMBER(SEARCH(Search!$N$8,J1984)))),1,0))</f>
        <v>0</v>
      </c>
      <c r="L1984" s="1" t="n">
        <f aca="false">L1983+K1984</f>
        <v>0</v>
      </c>
    </row>
    <row r="1985" customFormat="false" ht="15" hidden="false" customHeight="true" outlineLevel="0" collapsed="false">
      <c r="A1985" s="1" t="s">
        <v>331</v>
      </c>
      <c r="B1985" s="1" t="s">
        <v>4993</v>
      </c>
      <c r="C1985" s="1" t="n">
        <v>22</v>
      </c>
      <c r="E1985" s="1" t="s">
        <v>5033</v>
      </c>
      <c r="F1985" s="1" t="s">
        <v>520</v>
      </c>
      <c r="G1985" s="1" t="s">
        <v>520</v>
      </c>
      <c r="H1985" s="1" t="s">
        <v>520</v>
      </c>
      <c r="I1985" s="1" t="s">
        <v>520</v>
      </c>
      <c r="J1985" s="1" t="s">
        <v>5306</v>
      </c>
      <c r="K1985" s="1" t="n">
        <f aca="false">IF(Search!$D$5="",0,IF(AND(OR(Search!$N$5="",ISNUMBER(SEARCH(Search!$N$5,J1985))),OR(Search!$N$6="",ISNUMBER(SEARCH(Search!$N$6,J1985))),OR(Search!$N$7="",ISNUMBER(SEARCH(Search!$N$7,J1985))),OR(Search!$N$8="",ISNUMBER(SEARCH(Search!$N$8,J1985)))),1,0))</f>
        <v>0</v>
      </c>
      <c r="L1985" s="1" t="n">
        <f aca="false">L1984+K1985</f>
        <v>0</v>
      </c>
    </row>
    <row r="1986" customFormat="false" ht="15" hidden="false" customHeight="true" outlineLevel="0" collapsed="false">
      <c r="A1986" s="1" t="s">
        <v>331</v>
      </c>
      <c r="B1986" s="1" t="s">
        <v>4993</v>
      </c>
      <c r="C1986" s="1" t="n">
        <v>23</v>
      </c>
      <c r="E1986" s="1" t="s">
        <v>5185</v>
      </c>
      <c r="F1986" s="1" t="s">
        <v>520</v>
      </c>
      <c r="G1986" s="1" t="s">
        <v>520</v>
      </c>
      <c r="H1986" s="1" t="s">
        <v>520</v>
      </c>
      <c r="I1986" s="1" t="s">
        <v>520</v>
      </c>
      <c r="J1986" s="1" t="s">
        <v>5307</v>
      </c>
      <c r="K1986" s="1" t="n">
        <f aca="false">IF(Search!$D$5="",0,IF(AND(OR(Search!$N$5="",ISNUMBER(SEARCH(Search!$N$5,J1986))),OR(Search!$N$6="",ISNUMBER(SEARCH(Search!$N$6,J1986))),OR(Search!$N$7="",ISNUMBER(SEARCH(Search!$N$7,J1986))),OR(Search!$N$8="",ISNUMBER(SEARCH(Search!$N$8,J1986)))),1,0))</f>
        <v>0</v>
      </c>
      <c r="L1986" s="1" t="n">
        <f aca="false">L1985+K1986</f>
        <v>0</v>
      </c>
    </row>
    <row r="1987" customFormat="false" ht="15" hidden="false" customHeight="true" outlineLevel="0" collapsed="false">
      <c r="A1987" s="1" t="s">
        <v>331</v>
      </c>
      <c r="B1987" s="1" t="s">
        <v>4993</v>
      </c>
      <c r="C1987" s="1" t="n">
        <v>24</v>
      </c>
      <c r="E1987" s="1" t="s">
        <v>5308</v>
      </c>
      <c r="F1987" s="1" t="s">
        <v>524</v>
      </c>
      <c r="G1987" s="1" t="s">
        <v>520</v>
      </c>
      <c r="H1987" s="1" t="s">
        <v>520</v>
      </c>
      <c r="I1987" s="1" t="s">
        <v>520</v>
      </c>
      <c r="J1987" s="1" t="s">
        <v>5309</v>
      </c>
      <c r="K1987" s="1" t="n">
        <f aca="false">IF(Search!$D$5="",0,IF(AND(OR(Search!$N$5="",ISNUMBER(SEARCH(Search!$N$5,J1987))),OR(Search!$N$6="",ISNUMBER(SEARCH(Search!$N$6,J1987))),OR(Search!$N$7="",ISNUMBER(SEARCH(Search!$N$7,J1987))),OR(Search!$N$8="",ISNUMBER(SEARCH(Search!$N$8,J1987)))),1,0))</f>
        <v>0</v>
      </c>
      <c r="L1987" s="1" t="n">
        <f aca="false">L1986+K1987</f>
        <v>0</v>
      </c>
    </row>
    <row r="1988" customFormat="false" ht="15" hidden="false" customHeight="true" outlineLevel="0" collapsed="false">
      <c r="A1988" s="1" t="s">
        <v>331</v>
      </c>
      <c r="B1988" s="1" t="s">
        <v>4993</v>
      </c>
      <c r="C1988" s="1" t="n">
        <v>25</v>
      </c>
      <c r="E1988" s="1" t="s">
        <v>5310</v>
      </c>
      <c r="F1988" s="1" t="s">
        <v>524</v>
      </c>
      <c r="G1988" s="1" t="s">
        <v>520</v>
      </c>
      <c r="H1988" s="1" t="s">
        <v>520</v>
      </c>
      <c r="I1988" s="1" t="s">
        <v>520</v>
      </c>
      <c r="J1988" s="1" t="s">
        <v>5311</v>
      </c>
      <c r="K1988" s="1" t="n">
        <f aca="false">IF(Search!$D$5="",0,IF(AND(OR(Search!$N$5="",ISNUMBER(SEARCH(Search!$N$5,J1988))),OR(Search!$N$6="",ISNUMBER(SEARCH(Search!$N$6,J1988))),OR(Search!$N$7="",ISNUMBER(SEARCH(Search!$N$7,J1988))),OR(Search!$N$8="",ISNUMBER(SEARCH(Search!$N$8,J1988)))),1,0))</f>
        <v>0</v>
      </c>
      <c r="L1988" s="1" t="n">
        <f aca="false">L1987+K1988</f>
        <v>0</v>
      </c>
    </row>
    <row r="1989" customFormat="false" ht="15" hidden="false" customHeight="true" outlineLevel="0" collapsed="false">
      <c r="A1989" s="1" t="s">
        <v>331</v>
      </c>
      <c r="B1989" s="1" t="s">
        <v>4993</v>
      </c>
      <c r="C1989" s="1" t="n">
        <v>27</v>
      </c>
      <c r="E1989" s="1" t="s">
        <v>5312</v>
      </c>
      <c r="J1989" s="1" t="s">
        <v>5312</v>
      </c>
      <c r="K1989" s="1" t="n">
        <f aca="false">IF(Search!$D$5="",0,IF(AND(OR(Search!$N$5="",ISNUMBER(SEARCH(Search!$N$5,J1989))),OR(Search!$N$6="",ISNUMBER(SEARCH(Search!$N$6,J1989))),OR(Search!$N$7="",ISNUMBER(SEARCH(Search!$N$7,J1989))),OR(Search!$N$8="",ISNUMBER(SEARCH(Search!$N$8,J1989)))),1,0))</f>
        <v>0</v>
      </c>
      <c r="L1989" s="1" t="n">
        <f aca="false">L1988+K1989</f>
        <v>0</v>
      </c>
    </row>
    <row r="1990" customFormat="false" ht="15" hidden="false" customHeight="true" outlineLevel="0" collapsed="false">
      <c r="A1990" s="1" t="s">
        <v>331</v>
      </c>
      <c r="B1990" s="1" t="s">
        <v>4993</v>
      </c>
      <c r="C1990" s="1" t="n">
        <v>28</v>
      </c>
      <c r="E1990" s="1" t="s">
        <v>5263</v>
      </c>
      <c r="F1990" s="1" t="s">
        <v>5313</v>
      </c>
      <c r="G1990" s="1" t="s">
        <v>5314</v>
      </c>
      <c r="H1990" s="1" t="s">
        <v>5315</v>
      </c>
      <c r="I1990" s="1" t="s">
        <v>5316</v>
      </c>
      <c r="J1990" s="1" t="s">
        <v>5317</v>
      </c>
      <c r="K1990" s="1" t="n">
        <f aca="false">IF(Search!$D$5="",0,IF(AND(OR(Search!$N$5="",ISNUMBER(SEARCH(Search!$N$5,J1990))),OR(Search!$N$6="",ISNUMBER(SEARCH(Search!$N$6,J1990))),OR(Search!$N$7="",ISNUMBER(SEARCH(Search!$N$7,J1990))),OR(Search!$N$8="",ISNUMBER(SEARCH(Search!$N$8,J1990)))),1,0))</f>
        <v>0</v>
      </c>
      <c r="L1990" s="1" t="n">
        <f aca="false">L1989+K1990</f>
        <v>0</v>
      </c>
    </row>
    <row r="1991" customFormat="false" ht="15" hidden="false" customHeight="true" outlineLevel="0" collapsed="false">
      <c r="A1991" s="1" t="s">
        <v>331</v>
      </c>
      <c r="B1991" s="1" t="s">
        <v>4993</v>
      </c>
      <c r="C1991" s="1" t="n">
        <v>29</v>
      </c>
      <c r="E1991" s="1" t="s">
        <v>5318</v>
      </c>
      <c r="F1991" s="1" t="s">
        <v>2062</v>
      </c>
      <c r="G1991" s="1" t="s">
        <v>3220</v>
      </c>
      <c r="H1991" s="1" t="s">
        <v>2391</v>
      </c>
      <c r="I1991" s="1" t="s">
        <v>2187</v>
      </c>
      <c r="J1991" s="1" t="s">
        <v>5319</v>
      </c>
      <c r="K1991" s="1" t="n">
        <f aca="false">IF(Search!$D$5="",0,IF(AND(OR(Search!$N$5="",ISNUMBER(SEARCH(Search!$N$5,J1991))),OR(Search!$N$6="",ISNUMBER(SEARCH(Search!$N$6,J1991))),OR(Search!$N$7="",ISNUMBER(SEARCH(Search!$N$7,J1991))),OR(Search!$N$8="",ISNUMBER(SEARCH(Search!$N$8,J1991)))),1,0))</f>
        <v>0</v>
      </c>
      <c r="L1991" s="1" t="n">
        <f aca="false">L1990+K1991</f>
        <v>0</v>
      </c>
    </row>
    <row r="1992" customFormat="false" ht="15" hidden="false" customHeight="true" outlineLevel="0" collapsed="false">
      <c r="A1992" s="1" t="s">
        <v>331</v>
      </c>
      <c r="B1992" s="1" t="s">
        <v>4993</v>
      </c>
      <c r="C1992" s="1" t="n">
        <v>30</v>
      </c>
      <c r="E1992" s="1" t="s">
        <v>5320</v>
      </c>
      <c r="F1992" s="1" t="s">
        <v>3220</v>
      </c>
      <c r="G1992" s="1" t="s">
        <v>2391</v>
      </c>
      <c r="H1992" s="1" t="s">
        <v>1959</v>
      </c>
      <c r="I1992" s="1" t="s">
        <v>2168</v>
      </c>
      <c r="J1992" s="1" t="s">
        <v>5321</v>
      </c>
      <c r="K1992" s="1" t="n">
        <f aca="false">IF(Search!$D$5="",0,IF(AND(OR(Search!$N$5="",ISNUMBER(SEARCH(Search!$N$5,J1992))),OR(Search!$N$6="",ISNUMBER(SEARCH(Search!$N$6,J1992))),OR(Search!$N$7="",ISNUMBER(SEARCH(Search!$N$7,J1992))),OR(Search!$N$8="",ISNUMBER(SEARCH(Search!$N$8,J1992)))),1,0))</f>
        <v>0</v>
      </c>
      <c r="L1992" s="1" t="n">
        <f aca="false">L1991+K1992</f>
        <v>0</v>
      </c>
    </row>
    <row r="1993" customFormat="false" ht="15" hidden="false" customHeight="true" outlineLevel="0" collapsed="false">
      <c r="A1993" s="1" t="s">
        <v>331</v>
      </c>
      <c r="B1993" s="1" t="s">
        <v>4993</v>
      </c>
      <c r="C1993" s="1" t="n">
        <v>31</v>
      </c>
      <c r="E1993" s="1" t="s">
        <v>5322</v>
      </c>
      <c r="F1993" s="1" t="s">
        <v>3721</v>
      </c>
      <c r="G1993" s="1" t="s">
        <v>2062</v>
      </c>
      <c r="H1993" s="1" t="s">
        <v>3220</v>
      </c>
      <c r="I1993" s="1" t="s">
        <v>524</v>
      </c>
      <c r="J1993" s="1" t="s">
        <v>5323</v>
      </c>
      <c r="K1993" s="1" t="n">
        <f aca="false">IF(Search!$D$5="",0,IF(AND(OR(Search!$N$5="",ISNUMBER(SEARCH(Search!$N$5,J1993))),OR(Search!$N$6="",ISNUMBER(SEARCH(Search!$N$6,J1993))),OR(Search!$N$7="",ISNUMBER(SEARCH(Search!$N$7,J1993))),OR(Search!$N$8="",ISNUMBER(SEARCH(Search!$N$8,J1993)))),1,0))</f>
        <v>0</v>
      </c>
      <c r="L1993" s="1" t="n">
        <f aca="false">L1992+K1993</f>
        <v>0</v>
      </c>
    </row>
    <row r="1994" customFormat="false" ht="15" hidden="false" customHeight="true" outlineLevel="0" collapsed="false">
      <c r="A1994" s="1" t="s">
        <v>331</v>
      </c>
      <c r="B1994" s="1" t="s">
        <v>4993</v>
      </c>
      <c r="C1994" s="1" t="n">
        <v>32</v>
      </c>
      <c r="E1994" s="1" t="s">
        <v>5324</v>
      </c>
      <c r="F1994" s="1" t="s">
        <v>2391</v>
      </c>
      <c r="G1994" s="1" t="s">
        <v>1959</v>
      </c>
      <c r="H1994" s="1" t="s">
        <v>587</v>
      </c>
      <c r="I1994" s="1" t="s">
        <v>2061</v>
      </c>
      <c r="J1994" s="1" t="s">
        <v>5325</v>
      </c>
      <c r="K1994" s="1" t="n">
        <f aca="false">IF(Search!$D$5="",0,IF(AND(OR(Search!$N$5="",ISNUMBER(SEARCH(Search!$N$5,J1994))),OR(Search!$N$6="",ISNUMBER(SEARCH(Search!$N$6,J1994))),OR(Search!$N$7="",ISNUMBER(SEARCH(Search!$N$7,J1994))),OR(Search!$N$8="",ISNUMBER(SEARCH(Search!$N$8,J1994)))),1,0))</f>
        <v>0</v>
      </c>
      <c r="L1994" s="1" t="n">
        <f aca="false">L1993+K1994</f>
        <v>0</v>
      </c>
    </row>
    <row r="1995" customFormat="false" ht="15" hidden="false" customHeight="true" outlineLevel="0" collapsed="false">
      <c r="A1995" s="1" t="s">
        <v>331</v>
      </c>
      <c r="B1995" s="1" t="s">
        <v>4993</v>
      </c>
      <c r="C1995" s="1" t="n">
        <v>34</v>
      </c>
      <c r="E1995" s="1" t="s">
        <v>5326</v>
      </c>
      <c r="J1995" s="1" t="s">
        <v>5326</v>
      </c>
      <c r="K1995" s="1" t="n">
        <f aca="false">IF(Search!$D$5="",0,IF(AND(OR(Search!$N$5="",ISNUMBER(SEARCH(Search!$N$5,J1995))),OR(Search!$N$6="",ISNUMBER(SEARCH(Search!$N$6,J1995))),OR(Search!$N$7="",ISNUMBER(SEARCH(Search!$N$7,J1995))),OR(Search!$N$8="",ISNUMBER(SEARCH(Search!$N$8,J1995)))),1,0))</f>
        <v>0</v>
      </c>
      <c r="L1995" s="1" t="n">
        <f aca="false">L1994+K1995</f>
        <v>0</v>
      </c>
    </row>
    <row r="1996" customFormat="false" ht="68.25" hidden="false" customHeight="true" outlineLevel="0" collapsed="false">
      <c r="A1996" s="1" t="s">
        <v>331</v>
      </c>
      <c r="B1996" s="1" t="s">
        <v>4993</v>
      </c>
      <c r="C1996" s="1" t="n">
        <v>35</v>
      </c>
      <c r="E1996" s="1" t="s">
        <v>5327</v>
      </c>
      <c r="F1996" s="46" t="s">
        <v>5036</v>
      </c>
      <c r="G1996" s="46" t="s">
        <v>5328</v>
      </c>
      <c r="H1996" s="46" t="s">
        <v>5329</v>
      </c>
      <c r="I1996" s="46" t="s">
        <v>5038</v>
      </c>
      <c r="J1996" s="46" t="s">
        <v>5330</v>
      </c>
      <c r="K1996" s="1" t="n">
        <f aca="false">IF(Search!$D$5="",0,IF(AND(OR(Search!$N$5="",ISNUMBER(SEARCH(Search!$N$5,J1996))),OR(Search!$N$6="",ISNUMBER(SEARCH(Search!$N$6,J1996))),OR(Search!$N$7="",ISNUMBER(SEARCH(Search!$N$7,J1996))),OR(Search!$N$8="",ISNUMBER(SEARCH(Search!$N$8,J1996)))),1,0))</f>
        <v>0</v>
      </c>
      <c r="L1996" s="1" t="n">
        <f aca="false">L1995+K1996</f>
        <v>0</v>
      </c>
    </row>
    <row r="1997" customFormat="false" ht="15" hidden="false" customHeight="true" outlineLevel="0" collapsed="false">
      <c r="A1997" s="1" t="s">
        <v>331</v>
      </c>
      <c r="B1997" s="1" t="s">
        <v>4993</v>
      </c>
      <c r="C1997" s="1" t="n">
        <v>36</v>
      </c>
      <c r="E1997" s="1" t="s">
        <v>5025</v>
      </c>
      <c r="F1997" s="1" t="s">
        <v>3220</v>
      </c>
      <c r="G1997" s="1" t="s">
        <v>1654</v>
      </c>
      <c r="H1997" s="1" t="s">
        <v>3200</v>
      </c>
      <c r="I1997" s="1" t="s">
        <v>3799</v>
      </c>
      <c r="J1997" s="1" t="s">
        <v>5331</v>
      </c>
      <c r="K1997" s="1" t="n">
        <f aca="false">IF(Search!$D$5="",0,IF(AND(OR(Search!$N$5="",ISNUMBER(SEARCH(Search!$N$5,J1997))),OR(Search!$N$6="",ISNUMBER(SEARCH(Search!$N$6,J1997))),OR(Search!$N$7="",ISNUMBER(SEARCH(Search!$N$7,J1997))),OR(Search!$N$8="",ISNUMBER(SEARCH(Search!$N$8,J1997)))),1,0))</f>
        <v>0</v>
      </c>
      <c r="L1997" s="1" t="n">
        <f aca="false">L1996+K1997</f>
        <v>0</v>
      </c>
    </row>
    <row r="1998" customFormat="false" ht="15" hidden="false" customHeight="true" outlineLevel="0" collapsed="false">
      <c r="A1998" s="1" t="s">
        <v>331</v>
      </c>
      <c r="B1998" s="1" t="s">
        <v>4993</v>
      </c>
      <c r="C1998" s="1" t="n">
        <v>37</v>
      </c>
      <c r="E1998" s="1" t="s">
        <v>5025</v>
      </c>
      <c r="F1998" s="1" t="s">
        <v>2710</v>
      </c>
      <c r="G1998" s="1" t="s">
        <v>1654</v>
      </c>
      <c r="H1998" s="1" t="s">
        <v>3200</v>
      </c>
      <c r="I1998" s="1" t="s">
        <v>3799</v>
      </c>
      <c r="J1998" s="1" t="s">
        <v>5332</v>
      </c>
      <c r="K1998" s="1" t="n">
        <f aca="false">IF(Search!$D$5="",0,IF(AND(OR(Search!$N$5="",ISNUMBER(SEARCH(Search!$N$5,J1998))),OR(Search!$N$6="",ISNUMBER(SEARCH(Search!$N$6,J1998))),OR(Search!$N$7="",ISNUMBER(SEARCH(Search!$N$7,J1998))),OR(Search!$N$8="",ISNUMBER(SEARCH(Search!$N$8,J1998)))),1,0))</f>
        <v>0</v>
      </c>
      <c r="L1998" s="1" t="n">
        <f aca="false">L1997+K1998</f>
        <v>0</v>
      </c>
    </row>
    <row r="1999" customFormat="false" ht="15" hidden="false" customHeight="true" outlineLevel="0" collapsed="false">
      <c r="A1999" s="1" t="s">
        <v>331</v>
      </c>
      <c r="B1999" s="1" t="s">
        <v>4993</v>
      </c>
      <c r="C1999" s="1" t="n">
        <v>38</v>
      </c>
      <c r="E1999" s="1" t="s">
        <v>5027</v>
      </c>
      <c r="F1999" s="1" t="s">
        <v>2710</v>
      </c>
      <c r="G1999" s="1" t="s">
        <v>4393</v>
      </c>
      <c r="H1999" s="1" t="s">
        <v>577</v>
      </c>
      <c r="I1999" s="1" t="s">
        <v>579</v>
      </c>
      <c r="J1999" s="1" t="s">
        <v>5333</v>
      </c>
      <c r="K1999" s="1" t="n">
        <f aca="false">IF(Search!$D$5="",0,IF(AND(OR(Search!$N$5="",ISNUMBER(SEARCH(Search!$N$5,J1999))),OR(Search!$N$6="",ISNUMBER(SEARCH(Search!$N$6,J1999))),OR(Search!$N$7="",ISNUMBER(SEARCH(Search!$N$7,J1999))),OR(Search!$N$8="",ISNUMBER(SEARCH(Search!$N$8,J1999)))),1,0))</f>
        <v>0</v>
      </c>
      <c r="L1999" s="1" t="n">
        <f aca="false">L1998+K1999</f>
        <v>0</v>
      </c>
    </row>
    <row r="2000" customFormat="false" ht="15" hidden="false" customHeight="true" outlineLevel="0" collapsed="false">
      <c r="A2000" s="1" t="s">
        <v>331</v>
      </c>
      <c r="B2000" s="1" t="s">
        <v>4993</v>
      </c>
      <c r="C2000" s="1" t="n">
        <v>39</v>
      </c>
      <c r="E2000" s="1" t="s">
        <v>5027</v>
      </c>
      <c r="F2000" s="1" t="s">
        <v>2717</v>
      </c>
      <c r="G2000" s="1" t="s">
        <v>4393</v>
      </c>
      <c r="H2000" s="1" t="s">
        <v>577</v>
      </c>
      <c r="I2000" s="1" t="s">
        <v>579</v>
      </c>
      <c r="J2000" s="1" t="s">
        <v>5334</v>
      </c>
      <c r="K2000" s="1" t="n">
        <f aca="false">IF(Search!$D$5="",0,IF(AND(OR(Search!$N$5="",ISNUMBER(SEARCH(Search!$N$5,J2000))),OR(Search!$N$6="",ISNUMBER(SEARCH(Search!$N$6,J2000))),OR(Search!$N$7="",ISNUMBER(SEARCH(Search!$N$7,J2000))),OR(Search!$N$8="",ISNUMBER(SEARCH(Search!$N$8,J2000)))),1,0))</f>
        <v>0</v>
      </c>
      <c r="L2000" s="1" t="n">
        <f aca="false">L1999+K2000</f>
        <v>0</v>
      </c>
    </row>
    <row r="2001" customFormat="false" ht="15" hidden="false" customHeight="true" outlineLevel="0" collapsed="false">
      <c r="A2001" s="1" t="s">
        <v>331</v>
      </c>
      <c r="B2001" s="1" t="s">
        <v>4993</v>
      </c>
      <c r="C2001" s="1" t="n">
        <v>40</v>
      </c>
      <c r="E2001" s="1" t="s">
        <v>5029</v>
      </c>
      <c r="F2001" s="1" t="s">
        <v>2717</v>
      </c>
      <c r="G2001" s="1" t="s">
        <v>5335</v>
      </c>
      <c r="H2001" s="1" t="s">
        <v>5336</v>
      </c>
      <c r="I2001" s="1" t="s">
        <v>982</v>
      </c>
      <c r="J2001" s="1" t="s">
        <v>5337</v>
      </c>
      <c r="K2001" s="1" t="n">
        <f aca="false">IF(Search!$D$5="",0,IF(AND(OR(Search!$N$5="",ISNUMBER(SEARCH(Search!$N$5,J2001))),OR(Search!$N$6="",ISNUMBER(SEARCH(Search!$N$6,J2001))),OR(Search!$N$7="",ISNUMBER(SEARCH(Search!$N$7,J2001))),OR(Search!$N$8="",ISNUMBER(SEARCH(Search!$N$8,J2001)))),1,0))</f>
        <v>0</v>
      </c>
      <c r="L2001" s="1" t="n">
        <f aca="false">L2000+K2001</f>
        <v>0</v>
      </c>
    </row>
    <row r="2002" customFormat="false" ht="15" hidden="false" customHeight="true" outlineLevel="0" collapsed="false">
      <c r="A2002" s="1" t="s">
        <v>331</v>
      </c>
      <c r="B2002" s="1" t="s">
        <v>4993</v>
      </c>
      <c r="C2002" s="1" t="n">
        <v>41</v>
      </c>
      <c r="E2002" s="1" t="s">
        <v>5029</v>
      </c>
      <c r="F2002" s="1" t="s">
        <v>3724</v>
      </c>
      <c r="G2002" s="1" t="s">
        <v>5335</v>
      </c>
      <c r="H2002" s="1" t="s">
        <v>5336</v>
      </c>
      <c r="I2002" s="1" t="s">
        <v>982</v>
      </c>
      <c r="J2002" s="1" t="s">
        <v>5338</v>
      </c>
      <c r="K2002" s="1" t="n">
        <f aca="false">IF(Search!$D$5="",0,IF(AND(OR(Search!$N$5="",ISNUMBER(SEARCH(Search!$N$5,J2002))),OR(Search!$N$6="",ISNUMBER(SEARCH(Search!$N$6,J2002))),OR(Search!$N$7="",ISNUMBER(SEARCH(Search!$N$7,J2002))),OR(Search!$N$8="",ISNUMBER(SEARCH(Search!$N$8,J2002)))),1,0))</f>
        <v>0</v>
      </c>
      <c r="L2002" s="1" t="n">
        <f aca="false">L2001+K2002</f>
        <v>0</v>
      </c>
    </row>
    <row r="2003" customFormat="false" ht="15" hidden="false" customHeight="true" outlineLevel="0" collapsed="false">
      <c r="A2003" s="1" t="s">
        <v>331</v>
      </c>
      <c r="B2003" s="1" t="s">
        <v>4993</v>
      </c>
      <c r="C2003" s="1" t="n">
        <v>42</v>
      </c>
      <c r="E2003" s="1" t="s">
        <v>5031</v>
      </c>
      <c r="F2003" s="1" t="s">
        <v>749</v>
      </c>
      <c r="G2003" s="1" t="s">
        <v>3680</v>
      </c>
      <c r="H2003" s="1" t="s">
        <v>5339</v>
      </c>
      <c r="I2003" s="1" t="s">
        <v>5051</v>
      </c>
      <c r="J2003" s="1" t="s">
        <v>5340</v>
      </c>
      <c r="K2003" s="1" t="n">
        <f aca="false">IF(Search!$D$5="",0,IF(AND(OR(Search!$N$5="",ISNUMBER(SEARCH(Search!$N$5,J2003))),OR(Search!$N$6="",ISNUMBER(SEARCH(Search!$N$6,J2003))),OR(Search!$N$7="",ISNUMBER(SEARCH(Search!$N$7,J2003))),OR(Search!$N$8="",ISNUMBER(SEARCH(Search!$N$8,J2003)))),1,0))</f>
        <v>0</v>
      </c>
      <c r="L2003" s="1" t="n">
        <f aca="false">L2002+K2003</f>
        <v>0</v>
      </c>
    </row>
    <row r="2004" customFormat="false" ht="15" hidden="false" customHeight="true" outlineLevel="0" collapsed="false">
      <c r="A2004" s="1" t="s">
        <v>331</v>
      </c>
      <c r="B2004" s="1" t="s">
        <v>4993</v>
      </c>
      <c r="C2004" s="1" t="n">
        <v>43</v>
      </c>
      <c r="E2004" s="1" t="s">
        <v>5031</v>
      </c>
      <c r="F2004" s="1" t="s">
        <v>754</v>
      </c>
      <c r="G2004" s="1" t="s">
        <v>3680</v>
      </c>
      <c r="H2004" s="1" t="s">
        <v>5339</v>
      </c>
      <c r="I2004" s="1" t="s">
        <v>5051</v>
      </c>
      <c r="J2004" s="1" t="s">
        <v>5341</v>
      </c>
      <c r="K2004" s="1" t="n">
        <f aca="false">IF(Search!$D$5="",0,IF(AND(OR(Search!$N$5="",ISNUMBER(SEARCH(Search!$N$5,J2004))),OR(Search!$N$6="",ISNUMBER(SEARCH(Search!$N$6,J2004))),OR(Search!$N$7="",ISNUMBER(SEARCH(Search!$N$7,J2004))),OR(Search!$N$8="",ISNUMBER(SEARCH(Search!$N$8,J2004)))),1,0))</f>
        <v>0</v>
      </c>
      <c r="L2004" s="1" t="n">
        <f aca="false">L2003+K2004</f>
        <v>0</v>
      </c>
    </row>
    <row r="2005" customFormat="false" ht="15" hidden="false" customHeight="true" outlineLevel="0" collapsed="false">
      <c r="A2005" s="1" t="s">
        <v>331</v>
      </c>
      <c r="B2005" s="1" t="s">
        <v>4993</v>
      </c>
      <c r="C2005" s="1" t="n">
        <v>44</v>
      </c>
      <c r="E2005" s="1" t="s">
        <v>5033</v>
      </c>
      <c r="F2005" s="1" t="s">
        <v>5342</v>
      </c>
      <c r="G2005" s="1" t="s">
        <v>5343</v>
      </c>
      <c r="H2005" s="1" t="s">
        <v>5344</v>
      </c>
      <c r="I2005" s="1" t="s">
        <v>5055</v>
      </c>
      <c r="J2005" s="1" t="s">
        <v>5345</v>
      </c>
      <c r="K2005" s="1" t="n">
        <f aca="false">IF(Search!$D$5="",0,IF(AND(OR(Search!$N$5="",ISNUMBER(SEARCH(Search!$N$5,J2005))),OR(Search!$N$6="",ISNUMBER(SEARCH(Search!$N$6,J2005))),OR(Search!$N$7="",ISNUMBER(SEARCH(Search!$N$7,J2005))),OR(Search!$N$8="",ISNUMBER(SEARCH(Search!$N$8,J2005)))),1,0))</f>
        <v>0</v>
      </c>
      <c r="L2005" s="1" t="n">
        <f aca="false">L2004+K2005</f>
        <v>0</v>
      </c>
    </row>
    <row r="2006" customFormat="false" ht="15" hidden="false" customHeight="true" outlineLevel="0" collapsed="false">
      <c r="A2006" s="1" t="s">
        <v>331</v>
      </c>
      <c r="B2006" s="1" t="s">
        <v>4993</v>
      </c>
      <c r="C2006" s="1" t="n">
        <v>45</v>
      </c>
      <c r="E2006" s="1" t="s">
        <v>5033</v>
      </c>
      <c r="F2006" s="1" t="s">
        <v>712</v>
      </c>
      <c r="G2006" s="1" t="s">
        <v>5343</v>
      </c>
      <c r="H2006" s="1" t="s">
        <v>5344</v>
      </c>
      <c r="I2006" s="1" t="s">
        <v>5055</v>
      </c>
      <c r="J2006" s="1" t="s">
        <v>5346</v>
      </c>
      <c r="K2006" s="1" t="n">
        <f aca="false">IF(Search!$D$5="",0,IF(AND(OR(Search!$N$5="",ISNUMBER(SEARCH(Search!$N$5,J2006))),OR(Search!$N$6="",ISNUMBER(SEARCH(Search!$N$6,J2006))),OR(Search!$N$7="",ISNUMBER(SEARCH(Search!$N$7,J2006))),OR(Search!$N$8="",ISNUMBER(SEARCH(Search!$N$8,J2006)))),1,0))</f>
        <v>0</v>
      </c>
      <c r="L2006" s="1" t="n">
        <f aca="false">L2005+K2006</f>
        <v>0</v>
      </c>
    </row>
    <row r="2007" customFormat="false" ht="15" hidden="false" customHeight="true" outlineLevel="0" collapsed="false">
      <c r="A2007" s="1" t="s">
        <v>331</v>
      </c>
      <c r="B2007" s="1" t="s">
        <v>4993</v>
      </c>
      <c r="C2007" s="1" t="n">
        <v>46</v>
      </c>
      <c r="E2007" s="1" t="s">
        <v>5185</v>
      </c>
      <c r="F2007" s="1" t="s">
        <v>755</v>
      </c>
      <c r="G2007" s="1" t="s">
        <v>3706</v>
      </c>
      <c r="H2007" s="1" t="s">
        <v>3721</v>
      </c>
      <c r="I2007" s="1" t="s">
        <v>3353</v>
      </c>
      <c r="J2007" s="1" t="s">
        <v>5347</v>
      </c>
      <c r="K2007" s="1" t="n">
        <f aca="false">IF(Search!$D$5="",0,IF(AND(OR(Search!$N$5="",ISNUMBER(SEARCH(Search!$N$5,J2007))),OR(Search!$N$6="",ISNUMBER(SEARCH(Search!$N$6,J2007))),OR(Search!$N$7="",ISNUMBER(SEARCH(Search!$N$7,J2007))),OR(Search!$N$8="",ISNUMBER(SEARCH(Search!$N$8,J2007)))),1,0))</f>
        <v>0</v>
      </c>
      <c r="L2007" s="1" t="n">
        <f aca="false">L2006+K2007</f>
        <v>0</v>
      </c>
    </row>
    <row r="2008" customFormat="false" ht="15" hidden="false" customHeight="true" outlineLevel="0" collapsed="false">
      <c r="A2008" s="1" t="s">
        <v>331</v>
      </c>
      <c r="B2008" s="1" t="s">
        <v>4993</v>
      </c>
      <c r="C2008" s="1" t="n">
        <v>47</v>
      </c>
      <c r="E2008" s="1" t="s">
        <v>5185</v>
      </c>
      <c r="F2008" s="1" t="s">
        <v>2737</v>
      </c>
      <c r="G2008" s="1" t="s">
        <v>3706</v>
      </c>
      <c r="H2008" s="1" t="s">
        <v>3721</v>
      </c>
      <c r="I2008" s="1" t="s">
        <v>3353</v>
      </c>
      <c r="J2008" s="1" t="s">
        <v>5348</v>
      </c>
      <c r="K2008" s="1" t="n">
        <f aca="false">IF(Search!$D$5="",0,IF(AND(OR(Search!$N$5="",ISNUMBER(SEARCH(Search!$N$5,J2008))),OR(Search!$N$6="",ISNUMBER(SEARCH(Search!$N$6,J2008))),OR(Search!$N$7="",ISNUMBER(SEARCH(Search!$N$7,J2008))),OR(Search!$N$8="",ISNUMBER(SEARCH(Search!$N$8,J2008)))),1,0))</f>
        <v>0</v>
      </c>
      <c r="L2008" s="1" t="n">
        <f aca="false">L2007+K2008</f>
        <v>0</v>
      </c>
    </row>
    <row r="2009" customFormat="false" ht="15" hidden="false" customHeight="true" outlineLevel="0" collapsed="false">
      <c r="A2009" s="1" t="s">
        <v>331</v>
      </c>
      <c r="B2009" s="1" t="s">
        <v>4993</v>
      </c>
      <c r="C2009" s="1" t="n">
        <v>49</v>
      </c>
      <c r="E2009" s="1" t="s">
        <v>5212</v>
      </c>
      <c r="J2009" s="1" t="s">
        <v>5212</v>
      </c>
      <c r="K2009" s="1" t="n">
        <f aca="false">IF(Search!$D$5="",0,IF(AND(OR(Search!$N$5="",ISNUMBER(SEARCH(Search!$N$5,J2009))),OR(Search!$N$6="",ISNUMBER(SEARCH(Search!$N$6,J2009))),OR(Search!$N$7="",ISNUMBER(SEARCH(Search!$N$7,J2009))),OR(Search!$N$8="",ISNUMBER(SEARCH(Search!$N$8,J2009)))),1,0))</f>
        <v>0</v>
      </c>
      <c r="L2009" s="1" t="n">
        <f aca="false">L2008+K2009</f>
        <v>0</v>
      </c>
    </row>
    <row r="2010" customFormat="false" ht="68.25" hidden="false" customHeight="true" outlineLevel="0" collapsed="false">
      <c r="A2010" s="1" t="s">
        <v>331</v>
      </c>
      <c r="B2010" s="1" t="s">
        <v>4993</v>
      </c>
      <c r="C2010" s="1" t="n">
        <v>50</v>
      </c>
      <c r="E2010" s="1" t="s">
        <v>5327</v>
      </c>
      <c r="F2010" s="46" t="s">
        <v>5349</v>
      </c>
      <c r="G2010" s="46" t="s">
        <v>5350</v>
      </c>
      <c r="H2010" s="46" t="s">
        <v>5061</v>
      </c>
      <c r="I2010" s="46" t="s">
        <v>5351</v>
      </c>
      <c r="J2010" s="46" t="s">
        <v>5352</v>
      </c>
      <c r="K2010" s="1" t="n">
        <f aca="false">IF(Search!$D$5="",0,IF(AND(OR(Search!$N$5="",ISNUMBER(SEARCH(Search!$N$5,J2010))),OR(Search!$N$6="",ISNUMBER(SEARCH(Search!$N$6,J2010))),OR(Search!$N$7="",ISNUMBER(SEARCH(Search!$N$7,J2010))),OR(Search!$N$8="",ISNUMBER(SEARCH(Search!$N$8,J2010)))),1,0))</f>
        <v>0</v>
      </c>
      <c r="L2010" s="1" t="n">
        <f aca="false">L2009+K2010</f>
        <v>0</v>
      </c>
    </row>
    <row r="2011" customFormat="false" ht="15" hidden="false" customHeight="true" outlineLevel="0" collapsed="false">
      <c r="A2011" s="1" t="s">
        <v>331</v>
      </c>
      <c r="B2011" s="1" t="s">
        <v>4993</v>
      </c>
      <c r="C2011" s="1" t="n">
        <v>51</v>
      </c>
      <c r="E2011" s="1" t="s">
        <v>5025</v>
      </c>
      <c r="F2011" s="1" t="s">
        <v>2008</v>
      </c>
      <c r="G2011" s="1" t="s">
        <v>2456</v>
      </c>
      <c r="H2011" s="1" t="s">
        <v>1975</v>
      </c>
      <c r="I2011" s="1" t="s">
        <v>524</v>
      </c>
      <c r="J2011" s="1" t="s">
        <v>5353</v>
      </c>
      <c r="K2011" s="1" t="n">
        <f aca="false">IF(Search!$D$5="",0,IF(AND(OR(Search!$N$5="",ISNUMBER(SEARCH(Search!$N$5,J2011))),OR(Search!$N$6="",ISNUMBER(SEARCH(Search!$N$6,J2011))),OR(Search!$N$7="",ISNUMBER(SEARCH(Search!$N$7,J2011))),OR(Search!$N$8="",ISNUMBER(SEARCH(Search!$N$8,J2011)))),1,0))</f>
        <v>0</v>
      </c>
      <c r="L2011" s="1" t="n">
        <f aca="false">L2010+K2011</f>
        <v>0</v>
      </c>
    </row>
    <row r="2012" customFormat="false" ht="15" hidden="false" customHeight="true" outlineLevel="0" collapsed="false">
      <c r="A2012" s="1" t="s">
        <v>331</v>
      </c>
      <c r="B2012" s="1" t="s">
        <v>4993</v>
      </c>
      <c r="C2012" s="1" t="n">
        <v>52</v>
      </c>
      <c r="E2012" s="1" t="s">
        <v>5027</v>
      </c>
      <c r="F2012" s="1" t="s">
        <v>1769</v>
      </c>
      <c r="G2012" s="1" t="s">
        <v>2264</v>
      </c>
      <c r="H2012" s="1" t="s">
        <v>5354</v>
      </c>
      <c r="I2012" s="1" t="s">
        <v>524</v>
      </c>
      <c r="J2012" s="1" t="s">
        <v>5355</v>
      </c>
      <c r="K2012" s="1" t="n">
        <f aca="false">IF(Search!$D$5="",0,IF(AND(OR(Search!$N$5="",ISNUMBER(SEARCH(Search!$N$5,J2012))),OR(Search!$N$6="",ISNUMBER(SEARCH(Search!$N$6,J2012))),OR(Search!$N$7="",ISNUMBER(SEARCH(Search!$N$7,J2012))),OR(Search!$N$8="",ISNUMBER(SEARCH(Search!$N$8,J2012)))),1,0))</f>
        <v>0</v>
      </c>
      <c r="L2012" s="1" t="n">
        <f aca="false">L2011+K2012</f>
        <v>0</v>
      </c>
    </row>
    <row r="2013" customFormat="false" ht="15" hidden="false" customHeight="true" outlineLevel="0" collapsed="false">
      <c r="A2013" s="1" t="s">
        <v>331</v>
      </c>
      <c r="B2013" s="1" t="s">
        <v>4993</v>
      </c>
      <c r="C2013" s="1" t="n">
        <v>53</v>
      </c>
      <c r="E2013" s="1" t="s">
        <v>5029</v>
      </c>
      <c r="F2013" s="1" t="s">
        <v>587</v>
      </c>
      <c r="G2013" s="1" t="s">
        <v>1668</v>
      </c>
      <c r="H2013" s="1" t="s">
        <v>5356</v>
      </c>
      <c r="I2013" s="1" t="s">
        <v>2688</v>
      </c>
      <c r="J2013" s="1" t="s">
        <v>5357</v>
      </c>
      <c r="K2013" s="1" t="n">
        <f aca="false">IF(Search!$D$5="",0,IF(AND(OR(Search!$N$5="",ISNUMBER(SEARCH(Search!$N$5,J2013))),OR(Search!$N$6="",ISNUMBER(SEARCH(Search!$N$6,J2013))),OR(Search!$N$7="",ISNUMBER(SEARCH(Search!$N$7,J2013))),OR(Search!$N$8="",ISNUMBER(SEARCH(Search!$N$8,J2013)))),1,0))</f>
        <v>0</v>
      </c>
      <c r="L2013" s="1" t="n">
        <f aca="false">L2012+K2013</f>
        <v>0</v>
      </c>
    </row>
    <row r="2014" customFormat="false" ht="15" hidden="false" customHeight="true" outlineLevel="0" collapsed="false">
      <c r="A2014" s="1" t="s">
        <v>331</v>
      </c>
      <c r="B2014" s="1" t="s">
        <v>4993</v>
      </c>
      <c r="C2014" s="1" t="n">
        <v>54</v>
      </c>
      <c r="E2014" s="1" t="s">
        <v>5031</v>
      </c>
      <c r="F2014" s="1" t="s">
        <v>2688</v>
      </c>
      <c r="G2014" s="1" t="s">
        <v>4104</v>
      </c>
      <c r="H2014" s="1" t="s">
        <v>2772</v>
      </c>
      <c r="I2014" s="1" t="s">
        <v>4255</v>
      </c>
      <c r="J2014" s="1" t="s">
        <v>5358</v>
      </c>
      <c r="K2014" s="1" t="n">
        <f aca="false">IF(Search!$D$5="",0,IF(AND(OR(Search!$N$5="",ISNUMBER(SEARCH(Search!$N$5,J2014))),OR(Search!$N$6="",ISNUMBER(SEARCH(Search!$N$6,J2014))),OR(Search!$N$7="",ISNUMBER(SEARCH(Search!$N$7,J2014))),OR(Search!$N$8="",ISNUMBER(SEARCH(Search!$N$8,J2014)))),1,0))</f>
        <v>0</v>
      </c>
      <c r="L2014" s="1" t="n">
        <f aca="false">L2013+K2014</f>
        <v>0</v>
      </c>
    </row>
    <row r="2015" customFormat="false" ht="15" hidden="false" customHeight="true" outlineLevel="0" collapsed="false">
      <c r="A2015" s="1" t="s">
        <v>331</v>
      </c>
      <c r="B2015" s="1" t="s">
        <v>4993</v>
      </c>
      <c r="C2015" s="1" t="n">
        <v>55</v>
      </c>
      <c r="E2015" s="1" t="s">
        <v>5033</v>
      </c>
      <c r="F2015" s="1" t="s">
        <v>2820</v>
      </c>
      <c r="G2015" s="1" t="s">
        <v>5359</v>
      </c>
      <c r="H2015" s="1" t="s">
        <v>5074</v>
      </c>
      <c r="I2015" s="1" t="s">
        <v>5360</v>
      </c>
      <c r="J2015" s="1" t="s">
        <v>5361</v>
      </c>
      <c r="K2015" s="1" t="n">
        <f aca="false">IF(Search!$D$5="",0,IF(AND(OR(Search!$N$5="",ISNUMBER(SEARCH(Search!$N$5,J2015))),OR(Search!$N$6="",ISNUMBER(SEARCH(Search!$N$6,J2015))),OR(Search!$N$7="",ISNUMBER(SEARCH(Search!$N$7,J2015))),OR(Search!$N$8="",ISNUMBER(SEARCH(Search!$N$8,J2015)))),1,0))</f>
        <v>0</v>
      </c>
      <c r="L2015" s="1" t="n">
        <f aca="false">L2014+K2015</f>
        <v>0</v>
      </c>
    </row>
    <row r="2016" customFormat="false" ht="15" hidden="false" customHeight="true" outlineLevel="0" collapsed="false">
      <c r="A2016" s="1" t="s">
        <v>331</v>
      </c>
      <c r="B2016" s="1" t="s">
        <v>4993</v>
      </c>
      <c r="C2016" s="1" t="n">
        <v>56</v>
      </c>
      <c r="E2016" s="1" t="s">
        <v>5185</v>
      </c>
      <c r="F2016" s="1" t="s">
        <v>2710</v>
      </c>
      <c r="G2016" s="1" t="s">
        <v>5362</v>
      </c>
      <c r="H2016" s="1" t="s">
        <v>2717</v>
      </c>
      <c r="I2016" s="1" t="s">
        <v>5363</v>
      </c>
      <c r="J2016" s="1" t="s">
        <v>5364</v>
      </c>
      <c r="K2016" s="1" t="n">
        <f aca="false">IF(Search!$D$5="",0,IF(AND(OR(Search!$N$5="",ISNUMBER(SEARCH(Search!$N$5,J2016))),OR(Search!$N$6="",ISNUMBER(SEARCH(Search!$N$6,J2016))),OR(Search!$N$7="",ISNUMBER(SEARCH(Search!$N$7,J2016))),OR(Search!$N$8="",ISNUMBER(SEARCH(Search!$N$8,J2016)))),1,0))</f>
        <v>0</v>
      </c>
      <c r="L2016" s="1" t="n">
        <f aca="false">L2015+K2016</f>
        <v>0</v>
      </c>
    </row>
    <row r="2017" customFormat="false" ht="15" hidden="false" customHeight="true" outlineLevel="0" collapsed="false">
      <c r="A2017" s="1" t="s">
        <v>331</v>
      </c>
      <c r="B2017" s="1" t="s">
        <v>4993</v>
      </c>
      <c r="C2017" s="1" t="n">
        <v>58</v>
      </c>
      <c r="E2017" s="1" t="s">
        <v>5365</v>
      </c>
      <c r="J2017" s="1" t="s">
        <v>5365</v>
      </c>
      <c r="K2017" s="1" t="n">
        <f aca="false">IF(Search!$D$5="",0,IF(AND(OR(Search!$N$5="",ISNUMBER(SEARCH(Search!$N$5,J2017))),OR(Search!$N$6="",ISNUMBER(SEARCH(Search!$N$6,J2017))),OR(Search!$N$7="",ISNUMBER(SEARCH(Search!$N$7,J2017))),OR(Search!$N$8="",ISNUMBER(SEARCH(Search!$N$8,J2017)))),1,0))</f>
        <v>0</v>
      </c>
      <c r="L2017" s="1" t="n">
        <f aca="false">L2016+K2017</f>
        <v>0</v>
      </c>
    </row>
    <row r="2018" customFormat="false" ht="15" hidden="false" customHeight="true" outlineLevel="0" collapsed="false">
      <c r="A2018" s="1" t="s">
        <v>331</v>
      </c>
      <c r="B2018" s="1" t="s">
        <v>4993</v>
      </c>
      <c r="C2018" s="1" t="n">
        <v>59</v>
      </c>
      <c r="E2018" s="1" t="s">
        <v>5366</v>
      </c>
      <c r="F2018" s="1" t="s">
        <v>4797</v>
      </c>
      <c r="G2018" s="1" t="s">
        <v>4795</v>
      </c>
      <c r="H2018" s="1" t="s">
        <v>913</v>
      </c>
      <c r="J2018" s="1" t="s">
        <v>5367</v>
      </c>
      <c r="K2018" s="1" t="n">
        <f aca="false">IF(Search!$D$5="",0,IF(AND(OR(Search!$N$5="",ISNUMBER(SEARCH(Search!$N$5,J2018))),OR(Search!$N$6="",ISNUMBER(SEARCH(Search!$N$6,J2018))),OR(Search!$N$7="",ISNUMBER(SEARCH(Search!$N$7,J2018))),OR(Search!$N$8="",ISNUMBER(SEARCH(Search!$N$8,J2018)))),1,0))</f>
        <v>0</v>
      </c>
      <c r="L2018" s="1" t="n">
        <f aca="false">L2017+K2018</f>
        <v>0</v>
      </c>
    </row>
    <row r="2019" customFormat="false" ht="15" hidden="false" customHeight="true" outlineLevel="0" collapsed="false">
      <c r="A2019" s="1" t="s">
        <v>331</v>
      </c>
      <c r="B2019" s="1" t="s">
        <v>4993</v>
      </c>
      <c r="C2019" s="1" t="n">
        <v>60</v>
      </c>
      <c r="E2019" s="1" t="s">
        <v>5368</v>
      </c>
      <c r="F2019" s="1" t="s">
        <v>5369</v>
      </c>
      <c r="G2019" s="1" t="s">
        <v>5370</v>
      </c>
      <c r="H2019" s="1" t="s">
        <v>5371</v>
      </c>
      <c r="J2019" s="1" t="s">
        <v>5372</v>
      </c>
      <c r="K2019" s="1" t="n">
        <f aca="false">IF(Search!$D$5="",0,IF(AND(OR(Search!$N$5="",ISNUMBER(SEARCH(Search!$N$5,J2019))),OR(Search!$N$6="",ISNUMBER(SEARCH(Search!$N$6,J2019))),OR(Search!$N$7="",ISNUMBER(SEARCH(Search!$N$7,J2019))),OR(Search!$N$8="",ISNUMBER(SEARCH(Search!$N$8,J2019)))),1,0))</f>
        <v>0</v>
      </c>
      <c r="L2019" s="1" t="n">
        <f aca="false">L2018+K2019</f>
        <v>0</v>
      </c>
    </row>
    <row r="2020" customFormat="false" ht="15" hidden="false" customHeight="true" outlineLevel="0" collapsed="false">
      <c r="A2020" s="1" t="s">
        <v>331</v>
      </c>
      <c r="B2020" s="1" t="s">
        <v>4993</v>
      </c>
      <c r="C2020" s="1" t="n">
        <v>61</v>
      </c>
      <c r="E2020" s="1" t="s">
        <v>5373</v>
      </c>
      <c r="F2020" s="1" t="s">
        <v>5374</v>
      </c>
      <c r="G2020" s="1" t="s">
        <v>5375</v>
      </c>
      <c r="H2020" s="1" t="s">
        <v>5376</v>
      </c>
      <c r="J2020" s="1" t="s">
        <v>5377</v>
      </c>
      <c r="K2020" s="1" t="n">
        <f aca="false">IF(Search!$D$5="",0,IF(AND(OR(Search!$N$5="",ISNUMBER(SEARCH(Search!$N$5,J2020))),OR(Search!$N$6="",ISNUMBER(SEARCH(Search!$N$6,J2020))),OR(Search!$N$7="",ISNUMBER(SEARCH(Search!$N$7,J2020))),OR(Search!$N$8="",ISNUMBER(SEARCH(Search!$N$8,J2020)))),1,0))</f>
        <v>0</v>
      </c>
      <c r="L2020" s="1" t="n">
        <f aca="false">L2019+K2020</f>
        <v>0</v>
      </c>
    </row>
    <row r="2021" customFormat="false" ht="15" hidden="false" customHeight="true" outlineLevel="0" collapsed="false">
      <c r="A2021" s="1" t="s">
        <v>331</v>
      </c>
      <c r="B2021" s="1" t="s">
        <v>4993</v>
      </c>
      <c r="C2021" s="1" t="n">
        <v>62</v>
      </c>
      <c r="E2021" s="1" t="s">
        <v>5378</v>
      </c>
      <c r="F2021" s="1" t="s">
        <v>5374</v>
      </c>
      <c r="G2021" s="1" t="s">
        <v>5375</v>
      </c>
      <c r="H2021" s="1" t="s">
        <v>5379</v>
      </c>
      <c r="J2021" s="1" t="s">
        <v>5380</v>
      </c>
      <c r="K2021" s="1" t="n">
        <f aca="false">IF(Search!$D$5="",0,IF(AND(OR(Search!$N$5="",ISNUMBER(SEARCH(Search!$N$5,J2021))),OR(Search!$N$6="",ISNUMBER(SEARCH(Search!$N$6,J2021))),OR(Search!$N$7="",ISNUMBER(SEARCH(Search!$N$7,J2021))),OR(Search!$N$8="",ISNUMBER(SEARCH(Search!$N$8,J2021)))),1,0))</f>
        <v>0</v>
      </c>
      <c r="L2021" s="1" t="n">
        <f aca="false">L2020+K2021</f>
        <v>0</v>
      </c>
    </row>
    <row r="2022" customFormat="false" ht="15" hidden="false" customHeight="true" outlineLevel="0" collapsed="false">
      <c r="A2022" s="1" t="s">
        <v>331</v>
      </c>
      <c r="B2022" s="1" t="s">
        <v>4993</v>
      </c>
      <c r="C2022" s="1" t="n">
        <v>63</v>
      </c>
      <c r="E2022" s="1" t="s">
        <v>5381</v>
      </c>
      <c r="F2022" s="1" t="s">
        <v>5374</v>
      </c>
      <c r="G2022" s="1" t="s">
        <v>5375</v>
      </c>
      <c r="H2022" s="1" t="s">
        <v>5382</v>
      </c>
      <c r="J2022" s="1" t="s">
        <v>5383</v>
      </c>
      <c r="K2022" s="1" t="n">
        <f aca="false">IF(Search!$D$5="",0,IF(AND(OR(Search!$N$5="",ISNUMBER(SEARCH(Search!$N$5,J2022))),OR(Search!$N$6="",ISNUMBER(SEARCH(Search!$N$6,J2022))),OR(Search!$N$7="",ISNUMBER(SEARCH(Search!$N$7,J2022))),OR(Search!$N$8="",ISNUMBER(SEARCH(Search!$N$8,J2022)))),1,0))</f>
        <v>0</v>
      </c>
      <c r="L2022" s="1" t="n">
        <f aca="false">L2021+K2022</f>
        <v>0</v>
      </c>
    </row>
    <row r="2023" customFormat="false" ht="15" hidden="false" customHeight="true" outlineLevel="0" collapsed="false">
      <c r="A2023" s="1" t="s">
        <v>331</v>
      </c>
      <c r="B2023" s="1" t="s">
        <v>4993</v>
      </c>
      <c r="C2023" s="1" t="n">
        <v>64</v>
      </c>
      <c r="E2023" s="1" t="s">
        <v>5384</v>
      </c>
      <c r="F2023" s="1" t="s">
        <v>5385</v>
      </c>
      <c r="G2023" s="1" t="s">
        <v>524</v>
      </c>
      <c r="H2023" s="1" t="s">
        <v>5386</v>
      </c>
      <c r="J2023" s="1" t="s">
        <v>5387</v>
      </c>
      <c r="K2023" s="1" t="n">
        <f aca="false">IF(Search!$D$5="",0,IF(AND(OR(Search!$N$5="",ISNUMBER(SEARCH(Search!$N$5,J2023))),OR(Search!$N$6="",ISNUMBER(SEARCH(Search!$N$6,J2023))),OR(Search!$N$7="",ISNUMBER(SEARCH(Search!$N$7,J2023))),OR(Search!$N$8="",ISNUMBER(SEARCH(Search!$N$8,J2023)))),1,0))</f>
        <v>0</v>
      </c>
      <c r="L2023" s="1" t="n">
        <f aca="false">L2022+K2023</f>
        <v>0</v>
      </c>
    </row>
    <row r="2024" customFormat="false" ht="15" hidden="false" customHeight="true" outlineLevel="0" collapsed="false">
      <c r="A2024" s="1" t="s">
        <v>331</v>
      </c>
      <c r="B2024" s="1" t="s">
        <v>4993</v>
      </c>
      <c r="C2024" s="1" t="n">
        <v>65</v>
      </c>
      <c r="E2024" s="1" t="s">
        <v>5388</v>
      </c>
      <c r="F2024" s="1" t="s">
        <v>5374</v>
      </c>
      <c r="G2024" s="1" t="s">
        <v>5389</v>
      </c>
      <c r="H2024" s="1" t="s">
        <v>5390</v>
      </c>
      <c r="J2024" s="1" t="s">
        <v>5391</v>
      </c>
      <c r="K2024" s="1" t="n">
        <f aca="false">IF(Search!$D$5="",0,IF(AND(OR(Search!$N$5="",ISNUMBER(SEARCH(Search!$N$5,J2024))),OR(Search!$N$6="",ISNUMBER(SEARCH(Search!$N$6,J2024))),OR(Search!$N$7="",ISNUMBER(SEARCH(Search!$N$7,J2024))),OR(Search!$N$8="",ISNUMBER(SEARCH(Search!$N$8,J2024)))),1,0))</f>
        <v>0</v>
      </c>
      <c r="L2024" s="1" t="n">
        <f aca="false">L2023+K2024</f>
        <v>0</v>
      </c>
    </row>
    <row r="2025" customFormat="false" ht="15" hidden="false" customHeight="true" outlineLevel="0" collapsed="false">
      <c r="A2025" s="1" t="s">
        <v>331</v>
      </c>
      <c r="B2025" s="1" t="s">
        <v>4993</v>
      </c>
      <c r="C2025" s="1" t="n">
        <v>67</v>
      </c>
      <c r="E2025" s="1" t="s">
        <v>5150</v>
      </c>
      <c r="J2025" s="1" t="s">
        <v>5150</v>
      </c>
      <c r="K2025" s="1" t="n">
        <f aca="false">IF(Search!$D$5="",0,IF(AND(OR(Search!$N$5="",ISNUMBER(SEARCH(Search!$N$5,J2025))),OR(Search!$N$6="",ISNUMBER(SEARCH(Search!$N$6,J2025))),OR(Search!$N$7="",ISNUMBER(SEARCH(Search!$N$7,J2025))),OR(Search!$N$8="",ISNUMBER(SEARCH(Search!$N$8,J2025)))),1,0))</f>
        <v>0</v>
      </c>
      <c r="L2025" s="1" t="n">
        <f aca="false">L2024+K2025</f>
        <v>0</v>
      </c>
    </row>
    <row r="2026" customFormat="false" ht="15" hidden="false" customHeight="true" outlineLevel="0" collapsed="false">
      <c r="A2026" s="1" t="s">
        <v>331</v>
      </c>
      <c r="B2026" s="1" t="s">
        <v>4993</v>
      </c>
      <c r="C2026" s="1" t="n">
        <v>68</v>
      </c>
      <c r="E2026" s="1" t="s">
        <v>5392</v>
      </c>
      <c r="J2026" s="1" t="s">
        <v>5392</v>
      </c>
      <c r="K2026" s="1" t="n">
        <f aca="false">IF(Search!$D$5="",0,IF(AND(OR(Search!$N$5="",ISNUMBER(SEARCH(Search!$N$5,J2026))),OR(Search!$N$6="",ISNUMBER(SEARCH(Search!$N$6,J2026))),OR(Search!$N$7="",ISNUMBER(SEARCH(Search!$N$7,J2026))),OR(Search!$N$8="",ISNUMBER(SEARCH(Search!$N$8,J2026)))),1,0))</f>
        <v>0</v>
      </c>
      <c r="L2026" s="1" t="n">
        <f aca="false">L2025+K2026</f>
        <v>0</v>
      </c>
    </row>
    <row r="2027" customFormat="false" ht="15" hidden="false" customHeight="true" outlineLevel="0" collapsed="false">
      <c r="A2027" s="1" t="s">
        <v>331</v>
      </c>
      <c r="B2027" s="1" t="s">
        <v>4993</v>
      </c>
      <c r="C2027" s="1" t="n">
        <v>69</v>
      </c>
      <c r="E2027" s="1" t="s">
        <v>5393</v>
      </c>
      <c r="J2027" s="1" t="s">
        <v>5393</v>
      </c>
      <c r="K2027" s="1" t="n">
        <f aca="false">IF(Search!$D$5="",0,IF(AND(OR(Search!$N$5="",ISNUMBER(SEARCH(Search!$N$5,J2027))),OR(Search!$N$6="",ISNUMBER(SEARCH(Search!$N$6,J2027))),OR(Search!$N$7="",ISNUMBER(SEARCH(Search!$N$7,J2027))),OR(Search!$N$8="",ISNUMBER(SEARCH(Search!$N$8,J2027)))),1,0))</f>
        <v>0</v>
      </c>
      <c r="L2027" s="1" t="n">
        <f aca="false">L2026+K2027</f>
        <v>0</v>
      </c>
    </row>
    <row r="2028" customFormat="false" ht="15" hidden="false" customHeight="true" outlineLevel="0" collapsed="false">
      <c r="A2028" s="1" t="s">
        <v>331</v>
      </c>
      <c r="B2028" s="1" t="s">
        <v>4993</v>
      </c>
      <c r="C2028" s="1" t="n">
        <v>70</v>
      </c>
      <c r="E2028" s="1" t="s">
        <v>5394</v>
      </c>
      <c r="J2028" s="1" t="s">
        <v>5394</v>
      </c>
      <c r="K2028" s="1" t="n">
        <f aca="false">IF(Search!$D$5="",0,IF(AND(OR(Search!$N$5="",ISNUMBER(SEARCH(Search!$N$5,J2028))),OR(Search!$N$6="",ISNUMBER(SEARCH(Search!$N$6,J2028))),OR(Search!$N$7="",ISNUMBER(SEARCH(Search!$N$7,J2028))),OR(Search!$N$8="",ISNUMBER(SEARCH(Search!$N$8,J2028)))),1,0))</f>
        <v>0</v>
      </c>
      <c r="L2028" s="1" t="n">
        <f aca="false">L2027+K2028</f>
        <v>0</v>
      </c>
    </row>
    <row r="2029" customFormat="false" ht="15" hidden="false" customHeight="true" outlineLevel="0" collapsed="false">
      <c r="A2029" s="1" t="s">
        <v>331</v>
      </c>
      <c r="B2029" s="1" t="s">
        <v>4993</v>
      </c>
      <c r="C2029" s="1" t="n">
        <v>71</v>
      </c>
      <c r="E2029" s="1" t="s">
        <v>5395</v>
      </c>
      <c r="J2029" s="1" t="s">
        <v>5395</v>
      </c>
      <c r="K2029" s="1" t="n">
        <f aca="false">IF(Search!$D$5="",0,IF(AND(OR(Search!$N$5="",ISNUMBER(SEARCH(Search!$N$5,J2029))),OR(Search!$N$6="",ISNUMBER(SEARCH(Search!$N$6,J2029))),OR(Search!$N$7="",ISNUMBER(SEARCH(Search!$N$7,J2029))),OR(Search!$N$8="",ISNUMBER(SEARCH(Search!$N$8,J2029)))),1,0))</f>
        <v>0</v>
      </c>
      <c r="L2029" s="1" t="n">
        <f aca="false">L2028+K2029</f>
        <v>0</v>
      </c>
    </row>
    <row r="2030" customFormat="false" ht="15" hidden="false" customHeight="true" outlineLevel="0" collapsed="false">
      <c r="A2030" s="1" t="s">
        <v>331</v>
      </c>
      <c r="B2030" s="1" t="s">
        <v>4993</v>
      </c>
      <c r="C2030" s="1" t="n">
        <v>72</v>
      </c>
      <c r="E2030" s="1" t="s">
        <v>5396</v>
      </c>
      <c r="J2030" s="1" t="s">
        <v>5396</v>
      </c>
      <c r="K2030" s="1" t="n">
        <f aca="false">IF(Search!$D$5="",0,IF(AND(OR(Search!$N$5="",ISNUMBER(SEARCH(Search!$N$5,J2030))),OR(Search!$N$6="",ISNUMBER(SEARCH(Search!$N$6,J2030))),OR(Search!$N$7="",ISNUMBER(SEARCH(Search!$N$7,J2030))),OR(Search!$N$8="",ISNUMBER(SEARCH(Search!$N$8,J2030)))),1,0))</f>
        <v>0</v>
      </c>
      <c r="L2030" s="1" t="n">
        <f aca="false">L2029+K2030</f>
        <v>0</v>
      </c>
    </row>
    <row r="2031" customFormat="false" ht="15" hidden="false" customHeight="true" outlineLevel="0" collapsed="false">
      <c r="A2031" s="1" t="s">
        <v>331</v>
      </c>
      <c r="B2031" s="1" t="s">
        <v>4993</v>
      </c>
      <c r="C2031" s="1" t="n">
        <v>73</v>
      </c>
      <c r="E2031" s="1" t="s">
        <v>5397</v>
      </c>
      <c r="J2031" s="1" t="s">
        <v>5397</v>
      </c>
      <c r="K2031" s="1" t="n">
        <f aca="false">IF(Search!$D$5="",0,IF(AND(OR(Search!$N$5="",ISNUMBER(SEARCH(Search!$N$5,J2031))),OR(Search!$N$6="",ISNUMBER(SEARCH(Search!$N$6,J2031))),OR(Search!$N$7="",ISNUMBER(SEARCH(Search!$N$7,J2031))),OR(Search!$N$8="",ISNUMBER(SEARCH(Search!$N$8,J2031)))),1,0))</f>
        <v>0</v>
      </c>
      <c r="L2031" s="1" t="n">
        <f aca="false">L2030+K2031</f>
        <v>0</v>
      </c>
    </row>
    <row r="2032" customFormat="false" ht="15" hidden="false" customHeight="true" outlineLevel="0" collapsed="false">
      <c r="A2032" s="1" t="s">
        <v>331</v>
      </c>
      <c r="B2032" s="1" t="s">
        <v>4993</v>
      </c>
      <c r="C2032" s="1" t="n">
        <v>75</v>
      </c>
      <c r="E2032" s="1" t="s">
        <v>5398</v>
      </c>
      <c r="J2032" s="1" t="s">
        <v>5398</v>
      </c>
      <c r="K2032" s="1" t="n">
        <f aca="false">IF(Search!$D$5="",0,IF(AND(OR(Search!$N$5="",ISNUMBER(SEARCH(Search!$N$5,J2032))),OR(Search!$N$6="",ISNUMBER(SEARCH(Search!$N$6,J2032))),OR(Search!$N$7="",ISNUMBER(SEARCH(Search!$N$7,J2032))),OR(Search!$N$8="",ISNUMBER(SEARCH(Search!$N$8,J2032)))),1,0))</f>
        <v>0</v>
      </c>
      <c r="L2032" s="1" t="n">
        <f aca="false">L2031+K2032</f>
        <v>0</v>
      </c>
    </row>
    <row r="2033" customFormat="false" ht="15" hidden="false" customHeight="true" outlineLevel="0" collapsed="false">
      <c r="A2033" s="1" t="s">
        <v>334</v>
      </c>
      <c r="B2033" s="1" t="s">
        <v>4993</v>
      </c>
      <c r="C2033" s="1" t="n">
        <v>2</v>
      </c>
      <c r="E2033" s="1" t="s">
        <v>5399</v>
      </c>
      <c r="J2033" s="1" t="s">
        <v>5399</v>
      </c>
      <c r="K2033" s="1" t="n">
        <f aca="false">IF(Search!$D$5="",0,IF(AND(OR(Search!$N$5="",ISNUMBER(SEARCH(Search!$N$5,J2033))),OR(Search!$N$6="",ISNUMBER(SEARCH(Search!$N$6,J2033))),OR(Search!$N$7="",ISNUMBER(SEARCH(Search!$N$7,J2033))),OR(Search!$N$8="",ISNUMBER(SEARCH(Search!$N$8,J2033)))),1,0))</f>
        <v>0</v>
      </c>
      <c r="L2033" s="1" t="n">
        <f aca="false">L2032+K2033</f>
        <v>0</v>
      </c>
    </row>
    <row r="2034" customFormat="false" ht="15" hidden="false" customHeight="true" outlineLevel="0" collapsed="false">
      <c r="A2034" s="1" t="s">
        <v>334</v>
      </c>
      <c r="B2034" s="1" t="s">
        <v>4993</v>
      </c>
      <c r="C2034" s="1" t="n">
        <v>3</v>
      </c>
      <c r="E2034" s="1" t="s">
        <v>5400</v>
      </c>
      <c r="J2034" s="1" t="s">
        <v>5400</v>
      </c>
      <c r="K2034" s="1" t="n">
        <f aca="false">IF(Search!$D$5="",0,IF(AND(OR(Search!$N$5="",ISNUMBER(SEARCH(Search!$N$5,J2034))),OR(Search!$N$6="",ISNUMBER(SEARCH(Search!$N$6,J2034))),OR(Search!$N$7="",ISNUMBER(SEARCH(Search!$N$7,J2034))),OR(Search!$N$8="",ISNUMBER(SEARCH(Search!$N$8,J2034)))),1,0))</f>
        <v>0</v>
      </c>
      <c r="L2034" s="1" t="n">
        <f aca="false">L2033+K2034</f>
        <v>0</v>
      </c>
    </row>
    <row r="2035" customFormat="false" ht="15" hidden="false" customHeight="true" outlineLevel="0" collapsed="false">
      <c r="A2035" s="1" t="s">
        <v>334</v>
      </c>
      <c r="B2035" s="1" t="s">
        <v>4993</v>
      </c>
      <c r="C2035" s="1" t="n">
        <v>4</v>
      </c>
      <c r="E2035" s="1" t="s">
        <v>5401</v>
      </c>
      <c r="J2035" s="1" t="s">
        <v>5401</v>
      </c>
      <c r="K2035" s="1" t="n">
        <f aca="false">IF(Search!$D$5="",0,IF(AND(OR(Search!$N$5="",ISNUMBER(SEARCH(Search!$N$5,J2035))),OR(Search!$N$6="",ISNUMBER(SEARCH(Search!$N$6,J2035))),OR(Search!$N$7="",ISNUMBER(SEARCH(Search!$N$7,J2035))),OR(Search!$N$8="",ISNUMBER(SEARCH(Search!$N$8,J2035)))),1,0))</f>
        <v>0</v>
      </c>
      <c r="L2035" s="1" t="n">
        <f aca="false">L2034+K2035</f>
        <v>0</v>
      </c>
    </row>
    <row r="2036" customFormat="false" ht="15" hidden="false" customHeight="true" outlineLevel="0" collapsed="false">
      <c r="A2036" s="1" t="s">
        <v>334</v>
      </c>
      <c r="B2036" s="1" t="s">
        <v>4993</v>
      </c>
      <c r="C2036" s="1" t="n">
        <v>6</v>
      </c>
      <c r="E2036" s="1" t="s">
        <v>5402</v>
      </c>
      <c r="J2036" s="1" t="s">
        <v>5402</v>
      </c>
      <c r="K2036" s="1" t="n">
        <f aca="false">IF(Search!$D$5="",0,IF(AND(OR(Search!$N$5="",ISNUMBER(SEARCH(Search!$N$5,J2036))),OR(Search!$N$6="",ISNUMBER(SEARCH(Search!$N$6,J2036))),OR(Search!$N$7="",ISNUMBER(SEARCH(Search!$N$7,J2036))),OR(Search!$N$8="",ISNUMBER(SEARCH(Search!$N$8,J2036)))),1,0))</f>
        <v>0</v>
      </c>
      <c r="L2036" s="1" t="n">
        <f aca="false">L2035+K2036</f>
        <v>0</v>
      </c>
    </row>
    <row r="2037" customFormat="false" ht="15" hidden="false" customHeight="true" outlineLevel="0" collapsed="false">
      <c r="A2037" s="1" t="s">
        <v>334</v>
      </c>
      <c r="B2037" s="1" t="s">
        <v>4993</v>
      </c>
      <c r="C2037" s="1" t="n">
        <v>7</v>
      </c>
      <c r="E2037" s="1" t="s">
        <v>5403</v>
      </c>
      <c r="F2037" s="1" t="s">
        <v>5404</v>
      </c>
      <c r="G2037" s="1" t="s">
        <v>5405</v>
      </c>
      <c r="H2037" s="1" t="s">
        <v>5406</v>
      </c>
      <c r="J2037" s="1" t="s">
        <v>5407</v>
      </c>
      <c r="K2037" s="1" t="n">
        <f aca="false">IF(Search!$D$5="",0,IF(AND(OR(Search!$N$5="",ISNUMBER(SEARCH(Search!$N$5,J2037))),OR(Search!$N$6="",ISNUMBER(SEARCH(Search!$N$6,J2037))),OR(Search!$N$7="",ISNUMBER(SEARCH(Search!$N$7,J2037))),OR(Search!$N$8="",ISNUMBER(SEARCH(Search!$N$8,J2037)))),1,0))</f>
        <v>0</v>
      </c>
      <c r="L2037" s="1" t="n">
        <f aca="false">L2036+K2037</f>
        <v>0</v>
      </c>
    </row>
    <row r="2038" customFormat="false" ht="15" hidden="false" customHeight="true" outlineLevel="0" collapsed="false">
      <c r="A2038" s="1" t="s">
        <v>334</v>
      </c>
      <c r="B2038" s="1" t="s">
        <v>4993</v>
      </c>
      <c r="C2038" s="1" t="n">
        <v>8</v>
      </c>
      <c r="E2038" s="1" t="s">
        <v>5408</v>
      </c>
      <c r="F2038" s="1" t="s">
        <v>5409</v>
      </c>
      <c r="G2038" s="1" t="s">
        <v>5410</v>
      </c>
      <c r="H2038" s="1" t="s">
        <v>5411</v>
      </c>
      <c r="J2038" s="1" t="s">
        <v>5412</v>
      </c>
      <c r="K2038" s="1" t="n">
        <f aca="false">IF(Search!$D$5="",0,IF(AND(OR(Search!$N$5="",ISNUMBER(SEARCH(Search!$N$5,J2038))),OR(Search!$N$6="",ISNUMBER(SEARCH(Search!$N$6,J2038))),OR(Search!$N$7="",ISNUMBER(SEARCH(Search!$N$7,J2038))),OR(Search!$N$8="",ISNUMBER(SEARCH(Search!$N$8,J2038)))),1,0))</f>
        <v>0</v>
      </c>
      <c r="L2038" s="1" t="n">
        <f aca="false">L2037+K2038</f>
        <v>0</v>
      </c>
    </row>
    <row r="2039" customFormat="false" ht="15" hidden="false" customHeight="true" outlineLevel="0" collapsed="false">
      <c r="A2039" s="1" t="s">
        <v>334</v>
      </c>
      <c r="B2039" s="1" t="s">
        <v>4993</v>
      </c>
      <c r="C2039" s="1" t="n">
        <v>9</v>
      </c>
      <c r="E2039" s="1" t="s">
        <v>5413</v>
      </c>
      <c r="F2039" s="1" t="s">
        <v>5414</v>
      </c>
      <c r="G2039" s="1" t="s">
        <v>5410</v>
      </c>
      <c r="H2039" s="1" t="s">
        <v>5415</v>
      </c>
      <c r="J2039" s="1" t="s">
        <v>5416</v>
      </c>
      <c r="K2039" s="1" t="n">
        <f aca="false">IF(Search!$D$5="",0,IF(AND(OR(Search!$N$5="",ISNUMBER(SEARCH(Search!$N$5,J2039))),OR(Search!$N$6="",ISNUMBER(SEARCH(Search!$N$6,J2039))),OR(Search!$N$7="",ISNUMBER(SEARCH(Search!$N$7,J2039))),OR(Search!$N$8="",ISNUMBER(SEARCH(Search!$N$8,J2039)))),1,0))</f>
        <v>0</v>
      </c>
      <c r="L2039" s="1" t="n">
        <f aca="false">L2038+K2039</f>
        <v>0</v>
      </c>
    </row>
    <row r="2040" customFormat="false" ht="15" hidden="false" customHeight="true" outlineLevel="0" collapsed="false">
      <c r="A2040" s="1" t="s">
        <v>334</v>
      </c>
      <c r="B2040" s="1" t="s">
        <v>4993</v>
      </c>
      <c r="C2040" s="1" t="n">
        <v>10</v>
      </c>
      <c r="E2040" s="1" t="s">
        <v>5417</v>
      </c>
      <c r="F2040" s="1" t="s">
        <v>5418</v>
      </c>
      <c r="G2040" s="1" t="s">
        <v>5419</v>
      </c>
      <c r="H2040" s="1" t="s">
        <v>5420</v>
      </c>
      <c r="J2040" s="1" t="s">
        <v>5421</v>
      </c>
      <c r="K2040" s="1" t="n">
        <f aca="false">IF(Search!$D$5="",0,IF(AND(OR(Search!$N$5="",ISNUMBER(SEARCH(Search!$N$5,J2040))),OR(Search!$N$6="",ISNUMBER(SEARCH(Search!$N$6,J2040))),OR(Search!$N$7="",ISNUMBER(SEARCH(Search!$N$7,J2040))),OR(Search!$N$8="",ISNUMBER(SEARCH(Search!$N$8,J2040)))),1,0))</f>
        <v>0</v>
      </c>
      <c r="L2040" s="1" t="n">
        <f aca="false">L2039+K2040</f>
        <v>0</v>
      </c>
    </row>
    <row r="2041" customFormat="false" ht="15" hidden="false" customHeight="true" outlineLevel="0" collapsed="false">
      <c r="A2041" s="1" t="s">
        <v>334</v>
      </c>
      <c r="B2041" s="1" t="s">
        <v>4993</v>
      </c>
      <c r="C2041" s="1" t="n">
        <v>11</v>
      </c>
      <c r="E2041" s="1" t="s">
        <v>5422</v>
      </c>
      <c r="F2041" s="1" t="s">
        <v>5423</v>
      </c>
      <c r="G2041" s="1" t="s">
        <v>5410</v>
      </c>
      <c r="H2041" s="1" t="s">
        <v>5424</v>
      </c>
      <c r="J2041" s="1" t="s">
        <v>5425</v>
      </c>
      <c r="K2041" s="1" t="n">
        <f aca="false">IF(Search!$D$5="",0,IF(AND(OR(Search!$N$5="",ISNUMBER(SEARCH(Search!$N$5,J2041))),OR(Search!$N$6="",ISNUMBER(SEARCH(Search!$N$6,J2041))),OR(Search!$N$7="",ISNUMBER(SEARCH(Search!$N$7,J2041))),OR(Search!$N$8="",ISNUMBER(SEARCH(Search!$N$8,J2041)))),1,0))</f>
        <v>0</v>
      </c>
      <c r="L2041" s="1" t="n">
        <f aca="false">L2040+K2041</f>
        <v>0</v>
      </c>
    </row>
    <row r="2042" customFormat="false" ht="15" hidden="false" customHeight="true" outlineLevel="0" collapsed="false">
      <c r="A2042" s="1" t="s">
        <v>334</v>
      </c>
      <c r="B2042" s="1" t="s">
        <v>4993</v>
      </c>
      <c r="C2042" s="1" t="n">
        <v>12</v>
      </c>
      <c r="E2042" s="1" t="s">
        <v>5426</v>
      </c>
      <c r="F2042" s="1" t="s">
        <v>5427</v>
      </c>
      <c r="G2042" s="1" t="s">
        <v>5410</v>
      </c>
      <c r="H2042" s="1" t="s">
        <v>5428</v>
      </c>
      <c r="J2042" s="1" t="s">
        <v>5429</v>
      </c>
      <c r="K2042" s="1" t="n">
        <f aca="false">IF(Search!$D$5="",0,IF(AND(OR(Search!$N$5="",ISNUMBER(SEARCH(Search!$N$5,J2042))),OR(Search!$N$6="",ISNUMBER(SEARCH(Search!$N$6,J2042))),OR(Search!$N$7="",ISNUMBER(SEARCH(Search!$N$7,J2042))),OR(Search!$N$8="",ISNUMBER(SEARCH(Search!$N$8,J2042)))),1,0))</f>
        <v>0</v>
      </c>
      <c r="L2042" s="1" t="n">
        <f aca="false">L2041+K2042</f>
        <v>0</v>
      </c>
    </row>
    <row r="2043" customFormat="false" ht="15" hidden="false" customHeight="true" outlineLevel="0" collapsed="false">
      <c r="A2043" s="1" t="s">
        <v>334</v>
      </c>
      <c r="B2043" s="1" t="s">
        <v>4993</v>
      </c>
      <c r="C2043" s="1" t="n">
        <v>14</v>
      </c>
      <c r="E2043" s="1" t="s">
        <v>5430</v>
      </c>
      <c r="J2043" s="1" t="s">
        <v>5430</v>
      </c>
      <c r="K2043" s="1" t="n">
        <f aca="false">IF(Search!$D$5="",0,IF(AND(OR(Search!$N$5="",ISNUMBER(SEARCH(Search!$N$5,J2043))),OR(Search!$N$6="",ISNUMBER(SEARCH(Search!$N$6,J2043))),OR(Search!$N$7="",ISNUMBER(SEARCH(Search!$N$7,J2043))),OR(Search!$N$8="",ISNUMBER(SEARCH(Search!$N$8,J2043)))),1,0))</f>
        <v>0</v>
      </c>
      <c r="L2043" s="1" t="n">
        <f aca="false">L2042+K2043</f>
        <v>0</v>
      </c>
    </row>
    <row r="2044" customFormat="false" ht="68.25" hidden="false" customHeight="true" outlineLevel="0" collapsed="false">
      <c r="A2044" s="1" t="s">
        <v>334</v>
      </c>
      <c r="B2044" s="1" t="s">
        <v>4993</v>
      </c>
      <c r="C2044" s="1" t="n">
        <v>15</v>
      </c>
      <c r="E2044" s="1" t="s">
        <v>5017</v>
      </c>
      <c r="F2044" s="46" t="s">
        <v>5018</v>
      </c>
      <c r="G2044" s="46" t="s">
        <v>5036</v>
      </c>
      <c r="H2044" s="46" t="s">
        <v>5078</v>
      </c>
      <c r="I2044" s="46" t="s">
        <v>5431</v>
      </c>
      <c r="J2044" s="46" t="s">
        <v>5432</v>
      </c>
      <c r="K2044" s="1" t="n">
        <f aca="false">IF(Search!$D$5="",0,IF(AND(OR(Search!$N$5="",ISNUMBER(SEARCH(Search!$N$5,J2044))),OR(Search!$N$6="",ISNUMBER(SEARCH(Search!$N$6,J2044))),OR(Search!$N$7="",ISNUMBER(SEARCH(Search!$N$7,J2044))),OR(Search!$N$8="",ISNUMBER(SEARCH(Search!$N$8,J2044)))),1,0))</f>
        <v>0</v>
      </c>
      <c r="L2044" s="1" t="n">
        <f aca="false">L2043+K2044</f>
        <v>0</v>
      </c>
    </row>
    <row r="2045" customFormat="false" ht="15" hidden="false" customHeight="true" outlineLevel="0" collapsed="false">
      <c r="A2045" s="1" t="s">
        <v>334</v>
      </c>
      <c r="B2045" s="1" t="s">
        <v>4993</v>
      </c>
      <c r="C2045" s="1" t="n">
        <v>16</v>
      </c>
      <c r="E2045" s="1" t="s">
        <v>5023</v>
      </c>
      <c r="F2045" s="1" t="s">
        <v>1975</v>
      </c>
      <c r="G2045" s="1" t="s">
        <v>492</v>
      </c>
      <c r="H2045" s="1" t="s">
        <v>2710</v>
      </c>
      <c r="I2045" s="1" t="s">
        <v>1975</v>
      </c>
      <c r="J2045" s="1" t="s">
        <v>5433</v>
      </c>
      <c r="K2045" s="1" t="n">
        <f aca="false">IF(Search!$D$5="",0,IF(AND(OR(Search!$N$5="",ISNUMBER(SEARCH(Search!$N$5,J2045))),OR(Search!$N$6="",ISNUMBER(SEARCH(Search!$N$6,J2045))),OR(Search!$N$7="",ISNUMBER(SEARCH(Search!$N$7,J2045))),OR(Search!$N$8="",ISNUMBER(SEARCH(Search!$N$8,J2045)))),1,0))</f>
        <v>0</v>
      </c>
      <c r="L2045" s="1" t="n">
        <f aca="false">L2044+K2045</f>
        <v>0</v>
      </c>
    </row>
    <row r="2046" customFormat="false" ht="15" hidden="false" customHeight="true" outlineLevel="0" collapsed="false">
      <c r="A2046" s="1" t="s">
        <v>334</v>
      </c>
      <c r="B2046" s="1" t="s">
        <v>4993</v>
      </c>
      <c r="C2046" s="1" t="n">
        <v>17</v>
      </c>
      <c r="E2046" s="1" t="s">
        <v>5025</v>
      </c>
      <c r="F2046" s="1" t="s">
        <v>627</v>
      </c>
      <c r="G2046" s="1" t="s">
        <v>2699</v>
      </c>
      <c r="H2046" s="1" t="s">
        <v>2717</v>
      </c>
      <c r="I2046" s="1" t="s">
        <v>2168</v>
      </c>
      <c r="J2046" s="1" t="s">
        <v>5434</v>
      </c>
      <c r="K2046" s="1" t="n">
        <f aca="false">IF(Search!$D$5="",0,IF(AND(OR(Search!$N$5="",ISNUMBER(SEARCH(Search!$N$5,J2046))),OR(Search!$N$6="",ISNUMBER(SEARCH(Search!$N$6,J2046))),OR(Search!$N$7="",ISNUMBER(SEARCH(Search!$N$7,J2046))),OR(Search!$N$8="",ISNUMBER(SEARCH(Search!$N$8,J2046)))),1,0))</f>
        <v>0</v>
      </c>
      <c r="L2046" s="1" t="n">
        <f aca="false">L2045+K2046</f>
        <v>0</v>
      </c>
    </row>
    <row r="2047" customFormat="false" ht="15" hidden="false" customHeight="true" outlineLevel="0" collapsed="false">
      <c r="A2047" s="1" t="s">
        <v>334</v>
      </c>
      <c r="B2047" s="1" t="s">
        <v>4993</v>
      </c>
      <c r="C2047" s="1" t="n">
        <v>18</v>
      </c>
      <c r="E2047" s="1" t="s">
        <v>5027</v>
      </c>
      <c r="F2047" s="1" t="s">
        <v>2061</v>
      </c>
      <c r="G2047" s="1" t="s">
        <v>3220</v>
      </c>
      <c r="H2047" s="1" t="s">
        <v>736</v>
      </c>
      <c r="I2047" s="1" t="s">
        <v>492</v>
      </c>
      <c r="J2047" s="1" t="s">
        <v>5435</v>
      </c>
      <c r="K2047" s="1" t="n">
        <f aca="false">IF(Search!$D$5="",0,IF(AND(OR(Search!$N$5="",ISNUMBER(SEARCH(Search!$N$5,J2047))),OR(Search!$N$6="",ISNUMBER(SEARCH(Search!$N$6,J2047))),OR(Search!$N$7="",ISNUMBER(SEARCH(Search!$N$7,J2047))),OR(Search!$N$8="",ISNUMBER(SEARCH(Search!$N$8,J2047)))),1,0))</f>
        <v>0</v>
      </c>
      <c r="L2047" s="1" t="n">
        <f aca="false">L2046+K2047</f>
        <v>0</v>
      </c>
    </row>
    <row r="2048" customFormat="false" ht="15" hidden="false" customHeight="true" outlineLevel="0" collapsed="false">
      <c r="A2048" s="1" t="s">
        <v>334</v>
      </c>
      <c r="B2048" s="1" t="s">
        <v>4993</v>
      </c>
      <c r="C2048" s="1" t="n">
        <v>19</v>
      </c>
      <c r="E2048" s="1" t="s">
        <v>5029</v>
      </c>
      <c r="F2048" s="1" t="s">
        <v>585</v>
      </c>
      <c r="G2048" s="1" t="s">
        <v>3241</v>
      </c>
      <c r="H2048" s="1" t="s">
        <v>3721</v>
      </c>
      <c r="I2048" s="1" t="s">
        <v>3220</v>
      </c>
      <c r="J2048" s="1" t="s">
        <v>5436</v>
      </c>
      <c r="K2048" s="1" t="n">
        <f aca="false">IF(Search!$D$5="",0,IF(AND(OR(Search!$N$5="",ISNUMBER(SEARCH(Search!$N$5,J2048))),OR(Search!$N$6="",ISNUMBER(SEARCH(Search!$N$6,J2048))),OR(Search!$N$7="",ISNUMBER(SEARCH(Search!$N$7,J2048))),OR(Search!$N$8="",ISNUMBER(SEARCH(Search!$N$8,J2048)))),1,0))</f>
        <v>0</v>
      </c>
      <c r="L2048" s="1" t="n">
        <f aca="false">L2047+K2048</f>
        <v>0</v>
      </c>
    </row>
    <row r="2049" customFormat="false" ht="15" hidden="false" customHeight="true" outlineLevel="0" collapsed="false">
      <c r="A2049" s="1" t="s">
        <v>334</v>
      </c>
      <c r="B2049" s="1" t="s">
        <v>4993</v>
      </c>
      <c r="C2049" s="1" t="n">
        <v>20</v>
      </c>
      <c r="E2049" s="1" t="s">
        <v>5031</v>
      </c>
      <c r="F2049" s="1" t="s">
        <v>583</v>
      </c>
      <c r="G2049" s="1" t="s">
        <v>2717</v>
      </c>
      <c r="H2049" s="1" t="s">
        <v>2723</v>
      </c>
      <c r="I2049" s="1" t="s">
        <v>2717</v>
      </c>
      <c r="J2049" s="1" t="s">
        <v>5437</v>
      </c>
      <c r="K2049" s="1" t="n">
        <f aca="false">IF(Search!$D$5="",0,IF(AND(OR(Search!$N$5="",ISNUMBER(SEARCH(Search!$N$5,J2049))),OR(Search!$N$6="",ISNUMBER(SEARCH(Search!$N$6,J2049))),OR(Search!$N$7="",ISNUMBER(SEARCH(Search!$N$7,J2049))),OR(Search!$N$8="",ISNUMBER(SEARCH(Search!$N$8,J2049)))),1,0))</f>
        <v>0</v>
      </c>
      <c r="L2049" s="1" t="n">
        <f aca="false">L2048+K2049</f>
        <v>0</v>
      </c>
    </row>
    <row r="2050" customFormat="false" ht="15" hidden="false" customHeight="true" outlineLevel="0" collapsed="false">
      <c r="A2050" s="1" t="s">
        <v>334</v>
      </c>
      <c r="B2050" s="1" t="s">
        <v>4993</v>
      </c>
      <c r="C2050" s="1" t="n">
        <v>21</v>
      </c>
      <c r="E2050" s="1" t="s">
        <v>5033</v>
      </c>
      <c r="F2050" s="1" t="s">
        <v>2180</v>
      </c>
      <c r="G2050" s="1" t="s">
        <v>749</v>
      </c>
      <c r="H2050" s="1" t="s">
        <v>3860</v>
      </c>
      <c r="I2050" s="1" t="s">
        <v>2723</v>
      </c>
      <c r="J2050" s="1" t="s">
        <v>5438</v>
      </c>
      <c r="K2050" s="1" t="n">
        <f aca="false">IF(Search!$D$5="",0,IF(AND(OR(Search!$N$5="",ISNUMBER(SEARCH(Search!$N$5,J2050))),OR(Search!$N$6="",ISNUMBER(SEARCH(Search!$N$6,J2050))),OR(Search!$N$7="",ISNUMBER(SEARCH(Search!$N$7,J2050))),OR(Search!$N$8="",ISNUMBER(SEARCH(Search!$N$8,J2050)))),1,0))</f>
        <v>0</v>
      </c>
      <c r="L2050" s="1" t="n">
        <f aca="false">L2049+K2050</f>
        <v>0</v>
      </c>
    </row>
    <row r="2051" customFormat="false" ht="15" hidden="false" customHeight="true" outlineLevel="0" collapsed="false">
      <c r="A2051" s="1" t="s">
        <v>334</v>
      </c>
      <c r="B2051" s="1" t="s">
        <v>4993</v>
      </c>
      <c r="C2051" s="1" t="n">
        <v>22</v>
      </c>
      <c r="E2051" s="1" t="s">
        <v>5185</v>
      </c>
      <c r="F2051" s="1" t="s">
        <v>982</v>
      </c>
      <c r="G2051" s="1" t="s">
        <v>2723</v>
      </c>
      <c r="H2051" s="1" t="s">
        <v>621</v>
      </c>
      <c r="I2051" s="1" t="s">
        <v>3860</v>
      </c>
      <c r="J2051" s="1" t="s">
        <v>5439</v>
      </c>
      <c r="K2051" s="1" t="n">
        <f aca="false">IF(Search!$D$5="",0,IF(AND(OR(Search!$N$5="",ISNUMBER(SEARCH(Search!$N$5,J2051))),OR(Search!$N$6="",ISNUMBER(SEARCH(Search!$N$6,J2051))),OR(Search!$N$7="",ISNUMBER(SEARCH(Search!$N$7,J2051))),OR(Search!$N$8="",ISNUMBER(SEARCH(Search!$N$8,J2051)))),1,0))</f>
        <v>0</v>
      </c>
      <c r="L2051" s="1" t="n">
        <f aca="false">L2050+K2051</f>
        <v>0</v>
      </c>
    </row>
    <row r="2052" customFormat="false" ht="15" hidden="false" customHeight="true" outlineLevel="0" collapsed="false">
      <c r="A2052" s="1" t="s">
        <v>334</v>
      </c>
      <c r="B2052" s="1" t="s">
        <v>4993</v>
      </c>
      <c r="C2052" s="1" t="n">
        <v>24</v>
      </c>
      <c r="E2052" s="1" t="s">
        <v>5440</v>
      </c>
      <c r="J2052" s="1" t="s">
        <v>5440</v>
      </c>
      <c r="K2052" s="1" t="n">
        <f aca="false">IF(Search!$D$5="",0,IF(AND(OR(Search!$N$5="",ISNUMBER(SEARCH(Search!$N$5,J2052))),OR(Search!$N$6="",ISNUMBER(SEARCH(Search!$N$6,J2052))),OR(Search!$N$7="",ISNUMBER(SEARCH(Search!$N$7,J2052))),OR(Search!$N$8="",ISNUMBER(SEARCH(Search!$N$8,J2052)))),1,0))</f>
        <v>0</v>
      </c>
      <c r="L2052" s="1" t="n">
        <f aca="false">L2051+K2052</f>
        <v>0</v>
      </c>
    </row>
    <row r="2053" customFormat="false" ht="68.25" hidden="false" customHeight="true" outlineLevel="0" collapsed="false">
      <c r="A2053" s="1" t="s">
        <v>334</v>
      </c>
      <c r="B2053" s="1" t="s">
        <v>4993</v>
      </c>
      <c r="C2053" s="1" t="n">
        <v>25</v>
      </c>
      <c r="E2053" s="1" t="s">
        <v>5017</v>
      </c>
      <c r="F2053" s="46" t="s">
        <v>5441</v>
      </c>
      <c r="G2053" s="46" t="s">
        <v>5039</v>
      </c>
      <c r="H2053" s="46" t="s">
        <v>5442</v>
      </c>
      <c r="I2053" s="46" t="s">
        <v>5443</v>
      </c>
      <c r="J2053" s="46" t="s">
        <v>5444</v>
      </c>
      <c r="K2053" s="1" t="n">
        <f aca="false">IF(Search!$D$5="",0,IF(AND(OR(Search!$N$5="",ISNUMBER(SEARCH(Search!$N$5,J2053))),OR(Search!$N$6="",ISNUMBER(SEARCH(Search!$N$6,J2053))),OR(Search!$N$7="",ISNUMBER(SEARCH(Search!$N$7,J2053))),OR(Search!$N$8="",ISNUMBER(SEARCH(Search!$N$8,J2053)))),1,0))</f>
        <v>0</v>
      </c>
      <c r="L2053" s="1" t="n">
        <f aca="false">L2052+K2053</f>
        <v>0</v>
      </c>
    </row>
    <row r="2054" customFormat="false" ht="15" hidden="false" customHeight="true" outlineLevel="0" collapsed="false">
      <c r="A2054" s="1" t="s">
        <v>334</v>
      </c>
      <c r="B2054" s="1" t="s">
        <v>4993</v>
      </c>
      <c r="C2054" s="1" t="n">
        <v>26</v>
      </c>
      <c r="E2054" s="1" t="s">
        <v>5023</v>
      </c>
      <c r="F2054" s="1" t="s">
        <v>2025</v>
      </c>
      <c r="G2054" s="1" t="s">
        <v>5445</v>
      </c>
      <c r="H2054" s="1" t="s">
        <v>5445</v>
      </c>
      <c r="I2054" s="1" t="s">
        <v>4087</v>
      </c>
      <c r="J2054" s="1" t="s">
        <v>5446</v>
      </c>
      <c r="K2054" s="1" t="n">
        <f aca="false">IF(Search!$D$5="",0,IF(AND(OR(Search!$N$5="",ISNUMBER(SEARCH(Search!$N$5,J2054))),OR(Search!$N$6="",ISNUMBER(SEARCH(Search!$N$6,J2054))),OR(Search!$N$7="",ISNUMBER(SEARCH(Search!$N$7,J2054))),OR(Search!$N$8="",ISNUMBER(SEARCH(Search!$N$8,J2054)))),1,0))</f>
        <v>0</v>
      </c>
      <c r="L2054" s="1" t="n">
        <f aca="false">L2053+K2054</f>
        <v>0</v>
      </c>
    </row>
    <row r="2055" customFormat="false" ht="15" hidden="false" customHeight="true" outlineLevel="0" collapsed="false">
      <c r="A2055" s="1" t="s">
        <v>334</v>
      </c>
      <c r="B2055" s="1" t="s">
        <v>4993</v>
      </c>
      <c r="C2055" s="1" t="n">
        <v>27</v>
      </c>
      <c r="E2055" s="1" t="s">
        <v>5025</v>
      </c>
      <c r="F2055" s="1" t="s">
        <v>585</v>
      </c>
      <c r="G2055" s="1" t="s">
        <v>1741</v>
      </c>
      <c r="H2055" s="1" t="s">
        <v>1741</v>
      </c>
      <c r="I2055" s="1" t="s">
        <v>588</v>
      </c>
      <c r="J2055" s="1" t="s">
        <v>5447</v>
      </c>
      <c r="K2055" s="1" t="n">
        <f aca="false">IF(Search!$D$5="",0,IF(AND(OR(Search!$N$5="",ISNUMBER(SEARCH(Search!$N$5,J2055))),OR(Search!$N$6="",ISNUMBER(SEARCH(Search!$N$6,J2055))),OR(Search!$N$7="",ISNUMBER(SEARCH(Search!$N$7,J2055))),OR(Search!$N$8="",ISNUMBER(SEARCH(Search!$N$8,J2055)))),1,0))</f>
        <v>0</v>
      </c>
      <c r="L2055" s="1" t="n">
        <f aca="false">L2054+K2055</f>
        <v>0</v>
      </c>
    </row>
    <row r="2056" customFormat="false" ht="15" hidden="false" customHeight="true" outlineLevel="0" collapsed="false">
      <c r="A2056" s="1" t="s">
        <v>334</v>
      </c>
      <c r="B2056" s="1" t="s">
        <v>4993</v>
      </c>
      <c r="C2056" s="1" t="n">
        <v>28</v>
      </c>
      <c r="E2056" s="1" t="s">
        <v>5027</v>
      </c>
      <c r="F2056" s="1" t="s">
        <v>2306</v>
      </c>
      <c r="G2056" s="1" t="s">
        <v>5044</v>
      </c>
      <c r="H2056" s="1" t="s">
        <v>5044</v>
      </c>
      <c r="I2056" s="1" t="s">
        <v>5448</v>
      </c>
      <c r="J2056" s="1" t="s">
        <v>5449</v>
      </c>
      <c r="K2056" s="1" t="n">
        <f aca="false">IF(Search!$D$5="",0,IF(AND(OR(Search!$N$5="",ISNUMBER(SEARCH(Search!$N$5,J2056))),OR(Search!$N$6="",ISNUMBER(SEARCH(Search!$N$6,J2056))),OR(Search!$N$7="",ISNUMBER(SEARCH(Search!$N$7,J2056))),OR(Search!$N$8="",ISNUMBER(SEARCH(Search!$N$8,J2056)))),1,0))</f>
        <v>0</v>
      </c>
      <c r="L2056" s="1" t="n">
        <f aca="false">L2055+K2056</f>
        <v>0</v>
      </c>
    </row>
    <row r="2057" customFormat="false" ht="15" hidden="false" customHeight="true" outlineLevel="0" collapsed="false">
      <c r="A2057" s="1" t="s">
        <v>334</v>
      </c>
      <c r="B2057" s="1" t="s">
        <v>4993</v>
      </c>
      <c r="C2057" s="1" t="n">
        <v>29</v>
      </c>
      <c r="E2057" s="1" t="s">
        <v>5029</v>
      </c>
      <c r="F2057" s="1" t="s">
        <v>3680</v>
      </c>
      <c r="G2057" s="1" t="s">
        <v>2180</v>
      </c>
      <c r="H2057" s="1" t="s">
        <v>2180</v>
      </c>
      <c r="I2057" s="1" t="s">
        <v>2610</v>
      </c>
      <c r="J2057" s="1" t="s">
        <v>5450</v>
      </c>
      <c r="K2057" s="1" t="n">
        <f aca="false">IF(Search!$D$5="",0,IF(AND(OR(Search!$N$5="",ISNUMBER(SEARCH(Search!$N$5,J2057))),OR(Search!$N$6="",ISNUMBER(SEARCH(Search!$N$6,J2057))),OR(Search!$N$7="",ISNUMBER(SEARCH(Search!$N$7,J2057))),OR(Search!$N$8="",ISNUMBER(SEARCH(Search!$N$8,J2057)))),1,0))</f>
        <v>0</v>
      </c>
      <c r="L2057" s="1" t="n">
        <f aca="false">L2056+K2057</f>
        <v>0</v>
      </c>
    </row>
    <row r="2058" customFormat="false" ht="15" hidden="false" customHeight="true" outlineLevel="0" collapsed="false">
      <c r="A2058" s="1" t="s">
        <v>334</v>
      </c>
      <c r="B2058" s="1" t="s">
        <v>4993</v>
      </c>
      <c r="C2058" s="1" t="n">
        <v>30</v>
      </c>
      <c r="E2058" s="1" t="s">
        <v>5031</v>
      </c>
      <c r="F2058" s="1" t="s">
        <v>5055</v>
      </c>
      <c r="G2058" s="1" t="s">
        <v>5451</v>
      </c>
      <c r="H2058" s="1" t="s">
        <v>5451</v>
      </c>
      <c r="I2058" s="1" t="s">
        <v>5452</v>
      </c>
      <c r="J2058" s="1" t="s">
        <v>5453</v>
      </c>
      <c r="K2058" s="1" t="n">
        <f aca="false">IF(Search!$D$5="",0,IF(AND(OR(Search!$N$5="",ISNUMBER(SEARCH(Search!$N$5,J2058))),OR(Search!$N$6="",ISNUMBER(SEARCH(Search!$N$6,J2058))),OR(Search!$N$7="",ISNUMBER(SEARCH(Search!$N$7,J2058))),OR(Search!$N$8="",ISNUMBER(SEARCH(Search!$N$8,J2058)))),1,0))</f>
        <v>0</v>
      </c>
      <c r="L2058" s="1" t="n">
        <f aca="false">L2057+K2058</f>
        <v>0</v>
      </c>
    </row>
    <row r="2059" customFormat="false" ht="15" hidden="false" customHeight="true" outlineLevel="0" collapsed="false">
      <c r="A2059" s="1" t="s">
        <v>334</v>
      </c>
      <c r="B2059" s="1" t="s">
        <v>4993</v>
      </c>
      <c r="C2059" s="1" t="n">
        <v>31</v>
      </c>
      <c r="E2059" s="1" t="s">
        <v>5033</v>
      </c>
      <c r="F2059" s="1" t="s">
        <v>2717</v>
      </c>
      <c r="G2059" s="1" t="s">
        <v>5454</v>
      </c>
      <c r="H2059" s="1" t="s">
        <v>5454</v>
      </c>
      <c r="I2059" s="1" t="s">
        <v>5455</v>
      </c>
      <c r="J2059" s="1" t="s">
        <v>5456</v>
      </c>
      <c r="K2059" s="1" t="n">
        <f aca="false">IF(Search!$D$5="",0,IF(AND(OR(Search!$N$5="",ISNUMBER(SEARCH(Search!$N$5,J2059))),OR(Search!$N$6="",ISNUMBER(SEARCH(Search!$N$6,J2059))),OR(Search!$N$7="",ISNUMBER(SEARCH(Search!$N$7,J2059))),OR(Search!$N$8="",ISNUMBER(SEARCH(Search!$N$8,J2059)))),1,0))</f>
        <v>0</v>
      </c>
      <c r="L2059" s="1" t="n">
        <f aca="false">L2058+K2059</f>
        <v>0</v>
      </c>
    </row>
    <row r="2060" customFormat="false" ht="15" hidden="false" customHeight="true" outlineLevel="0" collapsed="false">
      <c r="A2060" s="1" t="s">
        <v>334</v>
      </c>
      <c r="B2060" s="1" t="s">
        <v>4993</v>
      </c>
      <c r="C2060" s="1" t="n">
        <v>32</v>
      </c>
      <c r="E2060" s="1" t="s">
        <v>5185</v>
      </c>
      <c r="F2060" s="1" t="s">
        <v>3378</v>
      </c>
      <c r="G2060" s="1" t="s">
        <v>5454</v>
      </c>
      <c r="H2060" s="1" t="s">
        <v>5454</v>
      </c>
      <c r="I2060" s="1" t="s">
        <v>5455</v>
      </c>
      <c r="J2060" s="1" t="s">
        <v>5457</v>
      </c>
      <c r="K2060" s="1" t="n">
        <f aca="false">IF(Search!$D$5="",0,IF(AND(OR(Search!$N$5="",ISNUMBER(SEARCH(Search!$N$5,J2060))),OR(Search!$N$6="",ISNUMBER(SEARCH(Search!$N$6,J2060))),OR(Search!$N$7="",ISNUMBER(SEARCH(Search!$N$7,J2060))),OR(Search!$N$8="",ISNUMBER(SEARCH(Search!$N$8,J2060)))),1,0))</f>
        <v>0</v>
      </c>
      <c r="L2060" s="1" t="n">
        <f aca="false">L2059+K2060</f>
        <v>0</v>
      </c>
    </row>
    <row r="2061" customFormat="false" ht="15" hidden="false" customHeight="true" outlineLevel="0" collapsed="false">
      <c r="A2061" s="1" t="s">
        <v>334</v>
      </c>
      <c r="B2061" s="1" t="s">
        <v>4993</v>
      </c>
      <c r="C2061" s="1" t="n">
        <v>34</v>
      </c>
      <c r="E2061" s="1" t="s">
        <v>5458</v>
      </c>
      <c r="J2061" s="1" t="s">
        <v>5458</v>
      </c>
      <c r="K2061" s="1" t="n">
        <f aca="false">IF(Search!$D$5="",0,IF(AND(OR(Search!$N$5="",ISNUMBER(SEARCH(Search!$N$5,J2061))),OR(Search!$N$6="",ISNUMBER(SEARCH(Search!$N$6,J2061))),OR(Search!$N$7="",ISNUMBER(SEARCH(Search!$N$7,J2061))),OR(Search!$N$8="",ISNUMBER(SEARCH(Search!$N$8,J2061)))),1,0))</f>
        <v>0</v>
      </c>
      <c r="L2061" s="1" t="n">
        <f aca="false">L2060+K2061</f>
        <v>0</v>
      </c>
    </row>
    <row r="2062" customFormat="false" ht="68.25" hidden="false" customHeight="true" outlineLevel="0" collapsed="false">
      <c r="A2062" s="1" t="s">
        <v>334</v>
      </c>
      <c r="B2062" s="1" t="s">
        <v>4993</v>
      </c>
      <c r="C2062" s="1" t="n">
        <v>35</v>
      </c>
      <c r="E2062" s="1" t="s">
        <v>5017</v>
      </c>
      <c r="F2062" s="46" t="s">
        <v>5441</v>
      </c>
      <c r="G2062" s="46" t="s">
        <v>5039</v>
      </c>
      <c r="H2062" s="46" t="s">
        <v>5442</v>
      </c>
      <c r="I2062" s="46" t="s">
        <v>5443</v>
      </c>
      <c r="J2062" s="46" t="s">
        <v>5444</v>
      </c>
      <c r="K2062" s="1" t="n">
        <f aca="false">IF(Search!$D$5="",0,IF(AND(OR(Search!$N$5="",ISNUMBER(SEARCH(Search!$N$5,J2062))),OR(Search!$N$6="",ISNUMBER(SEARCH(Search!$N$6,J2062))),OR(Search!$N$7="",ISNUMBER(SEARCH(Search!$N$7,J2062))),OR(Search!$N$8="",ISNUMBER(SEARCH(Search!$N$8,J2062)))),1,0))</f>
        <v>0</v>
      </c>
      <c r="L2062" s="1" t="n">
        <f aca="false">L2061+K2062</f>
        <v>0</v>
      </c>
    </row>
    <row r="2063" customFormat="false" ht="15" hidden="false" customHeight="true" outlineLevel="0" collapsed="false">
      <c r="A2063" s="1" t="s">
        <v>334</v>
      </c>
      <c r="B2063" s="1" t="s">
        <v>4993</v>
      </c>
      <c r="C2063" s="1" t="n">
        <v>36</v>
      </c>
      <c r="E2063" s="1" t="s">
        <v>5023</v>
      </c>
      <c r="F2063" s="1" t="s">
        <v>2025</v>
      </c>
      <c r="G2063" s="1" t="s">
        <v>1834</v>
      </c>
      <c r="H2063" s="1" t="s">
        <v>1834</v>
      </c>
      <c r="I2063" s="1" t="s">
        <v>5459</v>
      </c>
      <c r="J2063" s="1" t="s">
        <v>5460</v>
      </c>
      <c r="K2063" s="1" t="n">
        <f aca="false">IF(Search!$D$5="",0,IF(AND(OR(Search!$N$5="",ISNUMBER(SEARCH(Search!$N$5,J2063))),OR(Search!$N$6="",ISNUMBER(SEARCH(Search!$N$6,J2063))),OR(Search!$N$7="",ISNUMBER(SEARCH(Search!$N$7,J2063))),OR(Search!$N$8="",ISNUMBER(SEARCH(Search!$N$8,J2063)))),1,0))</f>
        <v>0</v>
      </c>
      <c r="L2063" s="1" t="n">
        <f aca="false">L2062+K2063</f>
        <v>0</v>
      </c>
    </row>
    <row r="2064" customFormat="false" ht="15" hidden="false" customHeight="true" outlineLevel="0" collapsed="false">
      <c r="A2064" s="1" t="s">
        <v>334</v>
      </c>
      <c r="B2064" s="1" t="s">
        <v>4993</v>
      </c>
      <c r="C2064" s="1" t="n">
        <v>37</v>
      </c>
      <c r="E2064" s="1" t="s">
        <v>5025</v>
      </c>
      <c r="F2064" s="1" t="s">
        <v>585</v>
      </c>
      <c r="G2064" s="1" t="s">
        <v>5461</v>
      </c>
      <c r="H2064" s="1" t="s">
        <v>5461</v>
      </c>
      <c r="I2064" s="1" t="s">
        <v>5462</v>
      </c>
      <c r="J2064" s="1" t="s">
        <v>5463</v>
      </c>
      <c r="K2064" s="1" t="n">
        <f aca="false">IF(Search!$D$5="",0,IF(AND(OR(Search!$N$5="",ISNUMBER(SEARCH(Search!$N$5,J2064))),OR(Search!$N$6="",ISNUMBER(SEARCH(Search!$N$6,J2064))),OR(Search!$N$7="",ISNUMBER(SEARCH(Search!$N$7,J2064))),OR(Search!$N$8="",ISNUMBER(SEARCH(Search!$N$8,J2064)))),1,0))</f>
        <v>0</v>
      </c>
      <c r="L2064" s="1" t="n">
        <f aca="false">L2063+K2064</f>
        <v>0</v>
      </c>
    </row>
    <row r="2065" customFormat="false" ht="15" hidden="false" customHeight="true" outlineLevel="0" collapsed="false">
      <c r="A2065" s="1" t="s">
        <v>334</v>
      </c>
      <c r="B2065" s="1" t="s">
        <v>4993</v>
      </c>
      <c r="C2065" s="1" t="n">
        <v>38</v>
      </c>
      <c r="E2065" s="1" t="s">
        <v>5027</v>
      </c>
      <c r="F2065" s="1" t="s">
        <v>2306</v>
      </c>
      <c r="G2065" s="1" t="s">
        <v>5462</v>
      </c>
      <c r="H2065" s="1" t="s">
        <v>5462</v>
      </c>
      <c r="I2065" s="1" t="s">
        <v>579</v>
      </c>
      <c r="J2065" s="1" t="s">
        <v>5464</v>
      </c>
      <c r="K2065" s="1" t="n">
        <f aca="false">IF(Search!$D$5="",0,IF(AND(OR(Search!$N$5="",ISNUMBER(SEARCH(Search!$N$5,J2065))),OR(Search!$N$6="",ISNUMBER(SEARCH(Search!$N$6,J2065))),OR(Search!$N$7="",ISNUMBER(SEARCH(Search!$N$7,J2065))),OR(Search!$N$8="",ISNUMBER(SEARCH(Search!$N$8,J2065)))),1,0))</f>
        <v>0</v>
      </c>
      <c r="L2065" s="1" t="n">
        <f aca="false">L2064+K2065</f>
        <v>0</v>
      </c>
    </row>
    <row r="2066" customFormat="false" ht="15" hidden="false" customHeight="true" outlineLevel="0" collapsed="false">
      <c r="A2066" s="1" t="s">
        <v>334</v>
      </c>
      <c r="B2066" s="1" t="s">
        <v>4993</v>
      </c>
      <c r="C2066" s="1" t="n">
        <v>39</v>
      </c>
      <c r="E2066" s="1" t="s">
        <v>5029</v>
      </c>
      <c r="F2066" s="1" t="s">
        <v>3680</v>
      </c>
      <c r="G2066" s="1" t="s">
        <v>2975</v>
      </c>
      <c r="H2066" s="1" t="s">
        <v>2975</v>
      </c>
      <c r="I2066" s="1" t="s">
        <v>4470</v>
      </c>
      <c r="J2066" s="1" t="s">
        <v>5465</v>
      </c>
      <c r="K2066" s="1" t="n">
        <f aca="false">IF(Search!$D$5="",0,IF(AND(OR(Search!$N$5="",ISNUMBER(SEARCH(Search!$N$5,J2066))),OR(Search!$N$6="",ISNUMBER(SEARCH(Search!$N$6,J2066))),OR(Search!$N$7="",ISNUMBER(SEARCH(Search!$N$7,J2066))),OR(Search!$N$8="",ISNUMBER(SEARCH(Search!$N$8,J2066)))),1,0))</f>
        <v>0</v>
      </c>
      <c r="L2066" s="1" t="n">
        <f aca="false">L2065+K2066</f>
        <v>0</v>
      </c>
    </row>
    <row r="2067" customFormat="false" ht="15" hidden="false" customHeight="true" outlineLevel="0" collapsed="false">
      <c r="A2067" s="1" t="s">
        <v>334</v>
      </c>
      <c r="B2067" s="1" t="s">
        <v>4993</v>
      </c>
      <c r="C2067" s="1" t="n">
        <v>40</v>
      </c>
      <c r="E2067" s="1" t="s">
        <v>5031</v>
      </c>
      <c r="F2067" s="1" t="s">
        <v>5055</v>
      </c>
      <c r="G2067" s="1" t="s">
        <v>3472</v>
      </c>
      <c r="H2067" s="1" t="s">
        <v>3472</v>
      </c>
      <c r="I2067" s="1" t="s">
        <v>5466</v>
      </c>
      <c r="J2067" s="1" t="s">
        <v>5467</v>
      </c>
      <c r="K2067" s="1" t="n">
        <f aca="false">IF(Search!$D$5="",0,IF(AND(OR(Search!$N$5="",ISNUMBER(SEARCH(Search!$N$5,J2067))),OR(Search!$N$6="",ISNUMBER(SEARCH(Search!$N$6,J2067))),OR(Search!$N$7="",ISNUMBER(SEARCH(Search!$N$7,J2067))),OR(Search!$N$8="",ISNUMBER(SEARCH(Search!$N$8,J2067)))),1,0))</f>
        <v>0</v>
      </c>
      <c r="L2067" s="1" t="n">
        <f aca="false">L2066+K2067</f>
        <v>0</v>
      </c>
    </row>
    <row r="2068" customFormat="false" ht="15" hidden="false" customHeight="true" outlineLevel="0" collapsed="false">
      <c r="A2068" s="1" t="s">
        <v>334</v>
      </c>
      <c r="B2068" s="1" t="s">
        <v>4993</v>
      </c>
      <c r="C2068" s="1" t="n">
        <v>41</v>
      </c>
      <c r="E2068" s="1" t="s">
        <v>5033</v>
      </c>
      <c r="F2068" s="1" t="s">
        <v>2717</v>
      </c>
      <c r="G2068" s="1" t="s">
        <v>5468</v>
      </c>
      <c r="H2068" s="1" t="s">
        <v>5468</v>
      </c>
      <c r="I2068" s="1" t="s">
        <v>1774</v>
      </c>
      <c r="J2068" s="1" t="s">
        <v>5469</v>
      </c>
      <c r="K2068" s="1" t="n">
        <f aca="false">IF(Search!$D$5="",0,IF(AND(OR(Search!$N$5="",ISNUMBER(SEARCH(Search!$N$5,J2068))),OR(Search!$N$6="",ISNUMBER(SEARCH(Search!$N$6,J2068))),OR(Search!$N$7="",ISNUMBER(SEARCH(Search!$N$7,J2068))),OR(Search!$N$8="",ISNUMBER(SEARCH(Search!$N$8,J2068)))),1,0))</f>
        <v>0</v>
      </c>
      <c r="L2068" s="1" t="n">
        <f aca="false">L2067+K2068</f>
        <v>0</v>
      </c>
    </row>
    <row r="2069" customFormat="false" ht="15" hidden="false" customHeight="true" outlineLevel="0" collapsed="false">
      <c r="A2069" s="1" t="s">
        <v>334</v>
      </c>
      <c r="B2069" s="1" t="s">
        <v>4993</v>
      </c>
      <c r="C2069" s="1" t="n">
        <v>42</v>
      </c>
      <c r="E2069" s="1" t="s">
        <v>5185</v>
      </c>
      <c r="F2069" s="1" t="s">
        <v>3378</v>
      </c>
      <c r="G2069" s="1" t="s">
        <v>5468</v>
      </c>
      <c r="H2069" s="1" t="s">
        <v>5468</v>
      </c>
      <c r="I2069" s="1" t="s">
        <v>1774</v>
      </c>
      <c r="J2069" s="1" t="s">
        <v>5470</v>
      </c>
      <c r="K2069" s="1" t="n">
        <f aca="false">IF(Search!$D$5="",0,IF(AND(OR(Search!$N$5="",ISNUMBER(SEARCH(Search!$N$5,J2069))),OR(Search!$N$6="",ISNUMBER(SEARCH(Search!$N$6,J2069))),OR(Search!$N$7="",ISNUMBER(SEARCH(Search!$N$7,J2069))),OR(Search!$N$8="",ISNUMBER(SEARCH(Search!$N$8,J2069)))),1,0))</f>
        <v>0</v>
      </c>
      <c r="L2069" s="1" t="n">
        <f aca="false">L2068+K2069</f>
        <v>0</v>
      </c>
    </row>
    <row r="2070" customFormat="false" ht="15" hidden="false" customHeight="true" outlineLevel="0" collapsed="false">
      <c r="A2070" s="1" t="s">
        <v>334</v>
      </c>
      <c r="B2070" s="1" t="s">
        <v>4993</v>
      </c>
      <c r="C2070" s="1" t="n">
        <v>44</v>
      </c>
      <c r="E2070" s="1" t="s">
        <v>5471</v>
      </c>
      <c r="J2070" s="1" t="s">
        <v>5471</v>
      </c>
      <c r="K2070" s="1" t="n">
        <f aca="false">IF(Search!$D$5="",0,IF(AND(OR(Search!$N$5="",ISNUMBER(SEARCH(Search!$N$5,J2070))),OR(Search!$N$6="",ISNUMBER(SEARCH(Search!$N$6,J2070))),OR(Search!$N$7="",ISNUMBER(SEARCH(Search!$N$7,J2070))),OR(Search!$N$8="",ISNUMBER(SEARCH(Search!$N$8,J2070)))),1,0))</f>
        <v>0</v>
      </c>
      <c r="L2070" s="1" t="n">
        <f aca="false">L2069+K2070</f>
        <v>0</v>
      </c>
    </row>
    <row r="2071" customFormat="false" ht="15" hidden="false" customHeight="true" outlineLevel="0" collapsed="false">
      <c r="A2071" s="1" t="s">
        <v>337</v>
      </c>
      <c r="B2071" s="1" t="s">
        <v>4993</v>
      </c>
      <c r="C2071" s="1" t="n">
        <v>2</v>
      </c>
      <c r="E2071" s="1" t="s">
        <v>5472</v>
      </c>
      <c r="J2071" s="1" t="s">
        <v>5472</v>
      </c>
      <c r="K2071" s="1" t="n">
        <f aca="false">IF(Search!$D$5="",0,IF(AND(OR(Search!$N$5="",ISNUMBER(SEARCH(Search!$N$5,J2071))),OR(Search!$N$6="",ISNUMBER(SEARCH(Search!$N$6,J2071))),OR(Search!$N$7="",ISNUMBER(SEARCH(Search!$N$7,J2071))),OR(Search!$N$8="",ISNUMBER(SEARCH(Search!$N$8,J2071)))),1,0))</f>
        <v>0</v>
      </c>
      <c r="L2071" s="1" t="n">
        <f aca="false">L2070+K2071</f>
        <v>0</v>
      </c>
    </row>
    <row r="2072" customFormat="false" ht="15" hidden="false" customHeight="true" outlineLevel="0" collapsed="false">
      <c r="A2072" s="1" t="s">
        <v>337</v>
      </c>
      <c r="B2072" s="1" t="s">
        <v>4993</v>
      </c>
      <c r="C2072" s="1" t="n">
        <v>3</v>
      </c>
      <c r="E2072" s="1" t="s">
        <v>5473</v>
      </c>
      <c r="J2072" s="1" t="s">
        <v>5473</v>
      </c>
      <c r="K2072" s="1" t="n">
        <f aca="false">IF(Search!$D$5="",0,IF(AND(OR(Search!$N$5="",ISNUMBER(SEARCH(Search!$N$5,J2072))),OR(Search!$N$6="",ISNUMBER(SEARCH(Search!$N$6,J2072))),OR(Search!$N$7="",ISNUMBER(SEARCH(Search!$N$7,J2072))),OR(Search!$N$8="",ISNUMBER(SEARCH(Search!$N$8,J2072)))),1,0))</f>
        <v>0</v>
      </c>
      <c r="L2072" s="1" t="n">
        <f aca="false">L2071+K2072</f>
        <v>0</v>
      </c>
    </row>
    <row r="2073" customFormat="false" ht="15" hidden="false" customHeight="true" outlineLevel="0" collapsed="false">
      <c r="A2073" s="1" t="s">
        <v>337</v>
      </c>
      <c r="B2073" s="1" t="s">
        <v>4993</v>
      </c>
      <c r="C2073" s="1" t="n">
        <v>4</v>
      </c>
      <c r="E2073" s="1" t="s">
        <v>5474</v>
      </c>
      <c r="J2073" s="1" t="s">
        <v>5474</v>
      </c>
      <c r="K2073" s="1" t="n">
        <f aca="false">IF(Search!$D$5="",0,IF(AND(OR(Search!$N$5="",ISNUMBER(SEARCH(Search!$N$5,J2073))),OR(Search!$N$6="",ISNUMBER(SEARCH(Search!$N$6,J2073))),OR(Search!$N$7="",ISNUMBER(SEARCH(Search!$N$7,J2073))),OR(Search!$N$8="",ISNUMBER(SEARCH(Search!$N$8,J2073)))),1,0))</f>
        <v>0</v>
      </c>
      <c r="L2073" s="1" t="n">
        <f aca="false">L2072+K2073</f>
        <v>0</v>
      </c>
    </row>
    <row r="2074" customFormat="false" ht="15" hidden="false" customHeight="true" outlineLevel="0" collapsed="false">
      <c r="A2074" s="1" t="s">
        <v>337</v>
      </c>
      <c r="B2074" s="1" t="s">
        <v>4993</v>
      </c>
      <c r="C2074" s="1" t="n">
        <v>6</v>
      </c>
      <c r="E2074" s="1" t="s">
        <v>5402</v>
      </c>
      <c r="J2074" s="1" t="s">
        <v>5402</v>
      </c>
      <c r="K2074" s="1" t="n">
        <f aca="false">IF(Search!$D$5="",0,IF(AND(OR(Search!$N$5="",ISNUMBER(SEARCH(Search!$N$5,J2074))),OR(Search!$N$6="",ISNUMBER(SEARCH(Search!$N$6,J2074))),OR(Search!$N$7="",ISNUMBER(SEARCH(Search!$N$7,J2074))),OR(Search!$N$8="",ISNUMBER(SEARCH(Search!$N$8,J2074)))),1,0))</f>
        <v>0</v>
      </c>
      <c r="L2074" s="1" t="n">
        <f aca="false">L2073+K2074</f>
        <v>0</v>
      </c>
    </row>
    <row r="2075" customFormat="false" ht="15" hidden="false" customHeight="true" outlineLevel="0" collapsed="false">
      <c r="A2075" s="1" t="s">
        <v>337</v>
      </c>
      <c r="B2075" s="1" t="s">
        <v>4993</v>
      </c>
      <c r="C2075" s="1" t="n">
        <v>7</v>
      </c>
      <c r="E2075" s="1" t="s">
        <v>5403</v>
      </c>
      <c r="F2075" s="1" t="s">
        <v>4795</v>
      </c>
      <c r="G2075" s="1" t="s">
        <v>5475</v>
      </c>
      <c r="H2075" s="1" t="s">
        <v>5406</v>
      </c>
      <c r="J2075" s="1" t="s">
        <v>5476</v>
      </c>
      <c r="K2075" s="1" t="n">
        <f aca="false">IF(Search!$D$5="",0,IF(AND(OR(Search!$N$5="",ISNUMBER(SEARCH(Search!$N$5,J2075))),OR(Search!$N$6="",ISNUMBER(SEARCH(Search!$N$6,J2075))),OR(Search!$N$7="",ISNUMBER(SEARCH(Search!$N$7,J2075))),OR(Search!$N$8="",ISNUMBER(SEARCH(Search!$N$8,J2075)))),1,0))</f>
        <v>0</v>
      </c>
      <c r="L2075" s="1" t="n">
        <f aca="false">L2074+K2075</f>
        <v>0</v>
      </c>
    </row>
    <row r="2076" customFormat="false" ht="15" hidden="false" customHeight="true" outlineLevel="0" collapsed="false">
      <c r="A2076" s="1" t="s">
        <v>337</v>
      </c>
      <c r="B2076" s="1" t="s">
        <v>4993</v>
      </c>
      <c r="C2076" s="1" t="n">
        <v>8</v>
      </c>
      <c r="E2076" s="1" t="s">
        <v>5477</v>
      </c>
      <c r="F2076" s="1" t="s">
        <v>5478</v>
      </c>
      <c r="G2076" s="1" t="s">
        <v>5479</v>
      </c>
      <c r="H2076" s="1" t="s">
        <v>5480</v>
      </c>
      <c r="J2076" s="1" t="s">
        <v>5481</v>
      </c>
      <c r="K2076" s="1" t="n">
        <f aca="false">IF(Search!$D$5="",0,IF(AND(OR(Search!$N$5="",ISNUMBER(SEARCH(Search!$N$5,J2076))),OR(Search!$N$6="",ISNUMBER(SEARCH(Search!$N$6,J2076))),OR(Search!$N$7="",ISNUMBER(SEARCH(Search!$N$7,J2076))),OR(Search!$N$8="",ISNUMBER(SEARCH(Search!$N$8,J2076)))),1,0))</f>
        <v>0</v>
      </c>
      <c r="L2076" s="1" t="n">
        <f aca="false">L2075+K2076</f>
        <v>0</v>
      </c>
    </row>
    <row r="2077" customFormat="false" ht="15" hidden="false" customHeight="true" outlineLevel="0" collapsed="false">
      <c r="A2077" s="1" t="s">
        <v>337</v>
      </c>
      <c r="B2077" s="1" t="s">
        <v>4993</v>
      </c>
      <c r="C2077" s="1" t="n">
        <v>9</v>
      </c>
      <c r="E2077" s="1" t="s">
        <v>5482</v>
      </c>
      <c r="F2077" s="1" t="s">
        <v>5483</v>
      </c>
      <c r="G2077" s="1" t="s">
        <v>5484</v>
      </c>
      <c r="H2077" s="1" t="s">
        <v>5485</v>
      </c>
      <c r="J2077" s="1" t="s">
        <v>5486</v>
      </c>
      <c r="K2077" s="1" t="n">
        <f aca="false">IF(Search!$D$5="",0,IF(AND(OR(Search!$N$5="",ISNUMBER(SEARCH(Search!$N$5,J2077))),OR(Search!$N$6="",ISNUMBER(SEARCH(Search!$N$6,J2077))),OR(Search!$N$7="",ISNUMBER(SEARCH(Search!$N$7,J2077))),OR(Search!$N$8="",ISNUMBER(SEARCH(Search!$N$8,J2077)))),1,0))</f>
        <v>0</v>
      </c>
      <c r="L2077" s="1" t="n">
        <f aca="false">L2076+K2077</f>
        <v>0</v>
      </c>
    </row>
    <row r="2078" customFormat="false" ht="15" hidden="false" customHeight="true" outlineLevel="0" collapsed="false">
      <c r="A2078" s="1" t="s">
        <v>337</v>
      </c>
      <c r="B2078" s="1" t="s">
        <v>4993</v>
      </c>
      <c r="C2078" s="1" t="n">
        <v>10</v>
      </c>
      <c r="E2078" s="1" t="s">
        <v>5487</v>
      </c>
      <c r="F2078" s="1" t="s">
        <v>5478</v>
      </c>
      <c r="G2078" s="1" t="s">
        <v>5488</v>
      </c>
      <c r="H2078" s="1" t="s">
        <v>5489</v>
      </c>
      <c r="J2078" s="1" t="s">
        <v>5490</v>
      </c>
      <c r="K2078" s="1" t="n">
        <f aca="false">IF(Search!$D$5="",0,IF(AND(OR(Search!$N$5="",ISNUMBER(SEARCH(Search!$N$5,J2078))),OR(Search!$N$6="",ISNUMBER(SEARCH(Search!$N$6,J2078))),OR(Search!$N$7="",ISNUMBER(SEARCH(Search!$N$7,J2078))),OR(Search!$N$8="",ISNUMBER(SEARCH(Search!$N$8,J2078)))),1,0))</f>
        <v>0</v>
      </c>
      <c r="L2078" s="1" t="n">
        <f aca="false">L2077+K2078</f>
        <v>0</v>
      </c>
    </row>
    <row r="2079" customFormat="false" ht="15" hidden="false" customHeight="true" outlineLevel="0" collapsed="false">
      <c r="A2079" s="1" t="s">
        <v>337</v>
      </c>
      <c r="B2079" s="1" t="s">
        <v>4993</v>
      </c>
      <c r="C2079" s="1" t="n">
        <v>11</v>
      </c>
      <c r="E2079" s="1" t="s">
        <v>5491</v>
      </c>
      <c r="F2079" s="1" t="s">
        <v>5483</v>
      </c>
      <c r="G2079" s="1" t="s">
        <v>5492</v>
      </c>
      <c r="H2079" s="1" t="s">
        <v>5493</v>
      </c>
      <c r="J2079" s="1" t="s">
        <v>5494</v>
      </c>
      <c r="K2079" s="1" t="n">
        <f aca="false">IF(Search!$D$5="",0,IF(AND(OR(Search!$N$5="",ISNUMBER(SEARCH(Search!$N$5,J2079))),OR(Search!$N$6="",ISNUMBER(SEARCH(Search!$N$6,J2079))),OR(Search!$N$7="",ISNUMBER(SEARCH(Search!$N$7,J2079))),OR(Search!$N$8="",ISNUMBER(SEARCH(Search!$N$8,J2079)))),1,0))</f>
        <v>0</v>
      </c>
      <c r="L2079" s="1" t="n">
        <f aca="false">L2078+K2079</f>
        <v>0</v>
      </c>
    </row>
    <row r="2080" customFormat="false" ht="15" hidden="false" customHeight="true" outlineLevel="0" collapsed="false">
      <c r="A2080" s="1" t="s">
        <v>337</v>
      </c>
      <c r="B2080" s="1" t="s">
        <v>4993</v>
      </c>
      <c r="C2080" s="1" t="n">
        <v>13</v>
      </c>
      <c r="E2080" s="1" t="s">
        <v>5495</v>
      </c>
      <c r="J2080" s="1" t="s">
        <v>5495</v>
      </c>
      <c r="K2080" s="1" t="n">
        <f aca="false">IF(Search!$D$5="",0,IF(AND(OR(Search!$N$5="",ISNUMBER(SEARCH(Search!$N$5,J2080))),OR(Search!$N$6="",ISNUMBER(SEARCH(Search!$N$6,J2080))),OR(Search!$N$7="",ISNUMBER(SEARCH(Search!$N$7,J2080))),OR(Search!$N$8="",ISNUMBER(SEARCH(Search!$N$8,J2080)))),1,0))</f>
        <v>0</v>
      </c>
      <c r="L2080" s="1" t="n">
        <f aca="false">L2079+K2080</f>
        <v>0</v>
      </c>
    </row>
    <row r="2081" customFormat="false" ht="68.25" hidden="false" customHeight="true" outlineLevel="0" collapsed="false">
      <c r="A2081" s="1" t="s">
        <v>337</v>
      </c>
      <c r="B2081" s="1" t="s">
        <v>4993</v>
      </c>
      <c r="C2081" s="1" t="n">
        <v>14</v>
      </c>
      <c r="E2081" s="1" t="s">
        <v>5017</v>
      </c>
      <c r="F2081" s="46" t="s">
        <v>5496</v>
      </c>
      <c r="G2081" s="46" t="s">
        <v>5497</v>
      </c>
      <c r="H2081" s="46" t="s">
        <v>5498</v>
      </c>
      <c r="I2081" s="46" t="s">
        <v>5078</v>
      </c>
      <c r="J2081" s="46" t="s">
        <v>5499</v>
      </c>
      <c r="K2081" s="1" t="n">
        <f aca="false">IF(Search!$D$5="",0,IF(AND(OR(Search!$N$5="",ISNUMBER(SEARCH(Search!$N$5,J2081))),OR(Search!$N$6="",ISNUMBER(SEARCH(Search!$N$6,J2081))),OR(Search!$N$7="",ISNUMBER(SEARCH(Search!$N$7,J2081))),OR(Search!$N$8="",ISNUMBER(SEARCH(Search!$N$8,J2081)))),1,0))</f>
        <v>0</v>
      </c>
      <c r="L2081" s="1" t="n">
        <f aca="false">L2080+K2081</f>
        <v>0</v>
      </c>
    </row>
    <row r="2082" customFormat="false" ht="15" hidden="false" customHeight="true" outlineLevel="0" collapsed="false">
      <c r="A2082" s="1" t="s">
        <v>337</v>
      </c>
      <c r="B2082" s="1" t="s">
        <v>4993</v>
      </c>
      <c r="C2082" s="1" t="n">
        <v>15</v>
      </c>
      <c r="E2082" s="1" t="s">
        <v>5025</v>
      </c>
      <c r="F2082" s="1" t="s">
        <v>627</v>
      </c>
      <c r="G2082" s="1" t="s">
        <v>3220</v>
      </c>
      <c r="H2082" s="1" t="s">
        <v>2391</v>
      </c>
      <c r="I2082" s="1" t="s">
        <v>2717</v>
      </c>
      <c r="J2082" s="1" t="s">
        <v>5500</v>
      </c>
      <c r="K2082" s="1" t="n">
        <f aca="false">IF(Search!$D$5="",0,IF(AND(OR(Search!$N$5="",ISNUMBER(SEARCH(Search!$N$5,J2082))),OR(Search!$N$6="",ISNUMBER(SEARCH(Search!$N$6,J2082))),OR(Search!$N$7="",ISNUMBER(SEARCH(Search!$N$7,J2082))),OR(Search!$N$8="",ISNUMBER(SEARCH(Search!$N$8,J2082)))),1,0))</f>
        <v>0</v>
      </c>
      <c r="L2082" s="1" t="n">
        <f aca="false">L2081+K2082</f>
        <v>0</v>
      </c>
    </row>
    <row r="2083" customFormat="false" ht="15" hidden="false" customHeight="true" outlineLevel="0" collapsed="false">
      <c r="A2083" s="1" t="s">
        <v>337</v>
      </c>
      <c r="B2083" s="1" t="s">
        <v>4993</v>
      </c>
      <c r="C2083" s="1" t="n">
        <v>16</v>
      </c>
      <c r="E2083" s="1" t="s">
        <v>5027</v>
      </c>
      <c r="F2083" s="1" t="s">
        <v>2746</v>
      </c>
      <c r="G2083" s="1" t="s">
        <v>3241</v>
      </c>
      <c r="H2083" s="1" t="s">
        <v>2699</v>
      </c>
      <c r="I2083" s="1" t="s">
        <v>3721</v>
      </c>
      <c r="J2083" s="1" t="s">
        <v>5501</v>
      </c>
      <c r="K2083" s="1" t="n">
        <f aca="false">IF(Search!$D$5="",0,IF(AND(OR(Search!$N$5="",ISNUMBER(SEARCH(Search!$N$5,J2083))),OR(Search!$N$6="",ISNUMBER(SEARCH(Search!$N$6,J2083))),OR(Search!$N$7="",ISNUMBER(SEARCH(Search!$N$7,J2083))),OR(Search!$N$8="",ISNUMBER(SEARCH(Search!$N$8,J2083)))),1,0))</f>
        <v>0</v>
      </c>
      <c r="L2083" s="1" t="n">
        <f aca="false">L2082+K2083</f>
        <v>0</v>
      </c>
    </row>
    <row r="2084" customFormat="false" ht="15" hidden="false" customHeight="true" outlineLevel="0" collapsed="false">
      <c r="A2084" s="1" t="s">
        <v>337</v>
      </c>
      <c r="B2084" s="1" t="s">
        <v>4993</v>
      </c>
      <c r="C2084" s="1" t="n">
        <v>17</v>
      </c>
      <c r="E2084" s="1" t="s">
        <v>5029</v>
      </c>
      <c r="F2084" s="1" t="s">
        <v>2081</v>
      </c>
      <c r="G2084" s="1" t="s">
        <v>2062</v>
      </c>
      <c r="H2084" s="1" t="s">
        <v>2704</v>
      </c>
      <c r="I2084" s="1" t="s">
        <v>2895</v>
      </c>
      <c r="J2084" s="1" t="s">
        <v>5502</v>
      </c>
      <c r="K2084" s="1" t="n">
        <f aca="false">IF(Search!$D$5="",0,IF(AND(OR(Search!$N$5="",ISNUMBER(SEARCH(Search!$N$5,J2084))),OR(Search!$N$6="",ISNUMBER(SEARCH(Search!$N$6,J2084))),OR(Search!$N$7="",ISNUMBER(SEARCH(Search!$N$7,J2084))),OR(Search!$N$8="",ISNUMBER(SEARCH(Search!$N$8,J2084)))),1,0))</f>
        <v>0</v>
      </c>
      <c r="L2084" s="1" t="n">
        <f aca="false">L2083+K2084</f>
        <v>0</v>
      </c>
    </row>
    <row r="2085" customFormat="false" ht="15" hidden="false" customHeight="true" outlineLevel="0" collapsed="false">
      <c r="A2085" s="1" t="s">
        <v>337</v>
      </c>
      <c r="B2085" s="1" t="s">
        <v>4993</v>
      </c>
      <c r="C2085" s="1" t="n">
        <v>18</v>
      </c>
      <c r="E2085" s="1" t="s">
        <v>5031</v>
      </c>
      <c r="F2085" s="1" t="s">
        <v>587</v>
      </c>
      <c r="G2085" s="1" t="s">
        <v>749</v>
      </c>
      <c r="H2085" s="1" t="s">
        <v>3706</v>
      </c>
      <c r="I2085" s="1" t="s">
        <v>3860</v>
      </c>
      <c r="J2085" s="1" t="s">
        <v>5503</v>
      </c>
      <c r="K2085" s="1" t="n">
        <f aca="false">IF(Search!$D$5="",0,IF(AND(OR(Search!$N$5="",ISNUMBER(SEARCH(Search!$N$5,J2085))),OR(Search!$N$6="",ISNUMBER(SEARCH(Search!$N$6,J2085))),OR(Search!$N$7="",ISNUMBER(SEARCH(Search!$N$7,J2085))),OR(Search!$N$8="",ISNUMBER(SEARCH(Search!$N$8,J2085)))),1,0))</f>
        <v>0</v>
      </c>
      <c r="L2085" s="1" t="n">
        <f aca="false">L2084+K2085</f>
        <v>0</v>
      </c>
    </row>
    <row r="2086" customFormat="false" ht="15" hidden="false" customHeight="true" outlineLevel="0" collapsed="false">
      <c r="A2086" s="1" t="s">
        <v>337</v>
      </c>
      <c r="B2086" s="1" t="s">
        <v>4993</v>
      </c>
      <c r="C2086" s="1" t="n">
        <v>19</v>
      </c>
      <c r="E2086" s="1" t="s">
        <v>5033</v>
      </c>
      <c r="F2086" s="1" t="s">
        <v>2168</v>
      </c>
      <c r="G2086" s="1" t="s">
        <v>3856</v>
      </c>
      <c r="H2086" s="1" t="s">
        <v>736</v>
      </c>
      <c r="I2086" s="1" t="s">
        <v>732</v>
      </c>
      <c r="J2086" s="1" t="s">
        <v>5504</v>
      </c>
      <c r="K2086" s="1" t="n">
        <f aca="false">IF(Search!$D$5="",0,IF(AND(OR(Search!$N$5="",ISNUMBER(SEARCH(Search!$N$5,J2086))),OR(Search!$N$6="",ISNUMBER(SEARCH(Search!$N$6,J2086))),OR(Search!$N$7="",ISNUMBER(SEARCH(Search!$N$7,J2086))),OR(Search!$N$8="",ISNUMBER(SEARCH(Search!$N$8,J2086)))),1,0))</f>
        <v>0</v>
      </c>
      <c r="L2086" s="1" t="n">
        <f aca="false">L2085+K2086</f>
        <v>0</v>
      </c>
    </row>
    <row r="2087" customFormat="false" ht="15" hidden="false" customHeight="true" outlineLevel="0" collapsed="false">
      <c r="A2087" s="1" t="s">
        <v>337</v>
      </c>
      <c r="B2087" s="1" t="s">
        <v>4993</v>
      </c>
      <c r="C2087" s="1" t="n">
        <v>20</v>
      </c>
      <c r="E2087" s="1" t="s">
        <v>5185</v>
      </c>
      <c r="F2087" s="1" t="s">
        <v>2168</v>
      </c>
      <c r="G2087" s="1" t="s">
        <v>621</v>
      </c>
      <c r="H2087" s="1" t="s">
        <v>2895</v>
      </c>
      <c r="I2087" s="1" t="s">
        <v>2926</v>
      </c>
      <c r="J2087" s="1" t="s">
        <v>5505</v>
      </c>
      <c r="K2087" s="1" t="n">
        <f aca="false">IF(Search!$D$5="",0,IF(AND(OR(Search!$N$5="",ISNUMBER(SEARCH(Search!$N$5,J2087))),OR(Search!$N$6="",ISNUMBER(SEARCH(Search!$N$6,J2087))),OR(Search!$N$7="",ISNUMBER(SEARCH(Search!$N$7,J2087))),OR(Search!$N$8="",ISNUMBER(SEARCH(Search!$N$8,J2087)))),1,0))</f>
        <v>0</v>
      </c>
      <c r="L2087" s="1" t="n">
        <f aca="false">L2086+K2087</f>
        <v>0</v>
      </c>
    </row>
    <row r="2088" customFormat="false" ht="15" hidden="false" customHeight="true" outlineLevel="0" collapsed="false">
      <c r="A2088" s="1" t="s">
        <v>337</v>
      </c>
      <c r="B2088" s="1" t="s">
        <v>4993</v>
      </c>
      <c r="C2088" s="1" t="n">
        <v>22</v>
      </c>
      <c r="E2088" s="1" t="s">
        <v>5440</v>
      </c>
      <c r="J2088" s="1" t="s">
        <v>5440</v>
      </c>
      <c r="K2088" s="1" t="n">
        <f aca="false">IF(Search!$D$5="",0,IF(AND(OR(Search!$N$5="",ISNUMBER(SEARCH(Search!$N$5,J2088))),OR(Search!$N$6="",ISNUMBER(SEARCH(Search!$N$6,J2088))),OR(Search!$N$7="",ISNUMBER(SEARCH(Search!$N$7,J2088))),OR(Search!$N$8="",ISNUMBER(SEARCH(Search!$N$8,J2088)))),1,0))</f>
        <v>0</v>
      </c>
      <c r="L2088" s="1" t="n">
        <f aca="false">L2087+K2088</f>
        <v>0</v>
      </c>
    </row>
    <row r="2089" customFormat="false" ht="68.25" hidden="false" customHeight="true" outlineLevel="0" collapsed="false">
      <c r="A2089" s="1" t="s">
        <v>337</v>
      </c>
      <c r="B2089" s="1" t="s">
        <v>4993</v>
      </c>
      <c r="C2089" s="1" t="n">
        <v>23</v>
      </c>
      <c r="E2089" s="1" t="s">
        <v>5017</v>
      </c>
      <c r="F2089" s="46" t="s">
        <v>5036</v>
      </c>
      <c r="G2089" s="46" t="s">
        <v>5037</v>
      </c>
      <c r="H2089" s="46" t="s">
        <v>5038</v>
      </c>
      <c r="I2089" s="46" t="s">
        <v>5039</v>
      </c>
      <c r="J2089" s="46" t="s">
        <v>5040</v>
      </c>
      <c r="K2089" s="1" t="n">
        <f aca="false">IF(Search!$D$5="",0,IF(AND(OR(Search!$N$5="",ISNUMBER(SEARCH(Search!$N$5,J2089))),OR(Search!$N$6="",ISNUMBER(SEARCH(Search!$N$6,J2089))),OR(Search!$N$7="",ISNUMBER(SEARCH(Search!$N$7,J2089))),OR(Search!$N$8="",ISNUMBER(SEARCH(Search!$N$8,J2089)))),1,0))</f>
        <v>0</v>
      </c>
      <c r="L2089" s="1" t="n">
        <f aca="false">L2088+K2089</f>
        <v>0</v>
      </c>
    </row>
    <row r="2090" customFormat="false" ht="15" hidden="false" customHeight="true" outlineLevel="0" collapsed="false">
      <c r="A2090" s="1" t="s">
        <v>337</v>
      </c>
      <c r="B2090" s="1" t="s">
        <v>4993</v>
      </c>
      <c r="C2090" s="1" t="n">
        <v>24</v>
      </c>
      <c r="E2090" s="1" t="s">
        <v>5025</v>
      </c>
      <c r="F2090" s="1" t="s">
        <v>3220</v>
      </c>
      <c r="G2090" s="1" t="s">
        <v>5506</v>
      </c>
      <c r="H2090" s="1" t="s">
        <v>3799</v>
      </c>
      <c r="I2090" s="1" t="s">
        <v>2501</v>
      </c>
      <c r="J2090" s="1" t="s">
        <v>5507</v>
      </c>
      <c r="K2090" s="1" t="n">
        <f aca="false">IF(Search!$D$5="",0,IF(AND(OR(Search!$N$5="",ISNUMBER(SEARCH(Search!$N$5,J2090))),OR(Search!$N$6="",ISNUMBER(SEARCH(Search!$N$6,J2090))),OR(Search!$N$7="",ISNUMBER(SEARCH(Search!$N$7,J2090))),OR(Search!$N$8="",ISNUMBER(SEARCH(Search!$N$8,J2090)))),1,0))</f>
        <v>0</v>
      </c>
      <c r="L2090" s="1" t="n">
        <f aca="false">L2089+K2090</f>
        <v>0</v>
      </c>
    </row>
    <row r="2091" customFormat="false" ht="15" hidden="false" customHeight="true" outlineLevel="0" collapsed="false">
      <c r="A2091" s="1" t="s">
        <v>337</v>
      </c>
      <c r="B2091" s="1" t="s">
        <v>4993</v>
      </c>
      <c r="C2091" s="1" t="n">
        <v>25</v>
      </c>
      <c r="E2091" s="1" t="s">
        <v>5027</v>
      </c>
      <c r="F2091" s="1" t="s">
        <v>3241</v>
      </c>
      <c r="G2091" s="1" t="s">
        <v>577</v>
      </c>
      <c r="H2091" s="1" t="s">
        <v>579</v>
      </c>
      <c r="I2091" s="1" t="s">
        <v>1418</v>
      </c>
      <c r="J2091" s="1" t="s">
        <v>5508</v>
      </c>
      <c r="K2091" s="1" t="n">
        <f aca="false">IF(Search!$D$5="",0,IF(AND(OR(Search!$N$5="",ISNUMBER(SEARCH(Search!$N$5,J2091))),OR(Search!$N$6="",ISNUMBER(SEARCH(Search!$N$6,J2091))),OR(Search!$N$7="",ISNUMBER(SEARCH(Search!$N$7,J2091))),OR(Search!$N$8="",ISNUMBER(SEARCH(Search!$N$8,J2091)))),1,0))</f>
        <v>0</v>
      </c>
      <c r="L2091" s="1" t="n">
        <f aca="false">L2090+K2091</f>
        <v>0</v>
      </c>
    </row>
    <row r="2092" customFormat="false" ht="15" hidden="false" customHeight="true" outlineLevel="0" collapsed="false">
      <c r="A2092" s="1" t="s">
        <v>337</v>
      </c>
      <c r="B2092" s="1" t="s">
        <v>4993</v>
      </c>
      <c r="C2092" s="1" t="n">
        <v>26</v>
      </c>
      <c r="E2092" s="1" t="s">
        <v>5029</v>
      </c>
      <c r="F2092" s="1" t="s">
        <v>2062</v>
      </c>
      <c r="G2092" s="1" t="s">
        <v>1761</v>
      </c>
      <c r="H2092" s="1" t="s">
        <v>982</v>
      </c>
      <c r="I2092" s="1" t="s">
        <v>1959</v>
      </c>
      <c r="J2092" s="1" t="s">
        <v>5509</v>
      </c>
      <c r="K2092" s="1" t="n">
        <f aca="false">IF(Search!$D$5="",0,IF(AND(OR(Search!$N$5="",ISNUMBER(SEARCH(Search!$N$5,J2092))),OR(Search!$N$6="",ISNUMBER(SEARCH(Search!$N$6,J2092))),OR(Search!$N$7="",ISNUMBER(SEARCH(Search!$N$7,J2092))),OR(Search!$N$8="",ISNUMBER(SEARCH(Search!$N$8,J2092)))),1,0))</f>
        <v>0</v>
      </c>
      <c r="L2092" s="1" t="n">
        <f aca="false">L2091+K2092</f>
        <v>0</v>
      </c>
    </row>
    <row r="2093" customFormat="false" ht="15" hidden="false" customHeight="true" outlineLevel="0" collapsed="false">
      <c r="A2093" s="1" t="s">
        <v>337</v>
      </c>
      <c r="B2093" s="1" t="s">
        <v>4993</v>
      </c>
      <c r="C2093" s="1" t="n">
        <v>27</v>
      </c>
      <c r="E2093" s="1" t="s">
        <v>5031</v>
      </c>
      <c r="F2093" s="1" t="s">
        <v>749</v>
      </c>
      <c r="G2093" s="1" t="s">
        <v>2704</v>
      </c>
      <c r="H2093" s="1" t="s">
        <v>5051</v>
      </c>
      <c r="I2093" s="1" t="s">
        <v>5510</v>
      </c>
      <c r="J2093" s="1" t="s">
        <v>5511</v>
      </c>
      <c r="K2093" s="1" t="n">
        <f aca="false">IF(Search!$D$5="",0,IF(AND(OR(Search!$N$5="",ISNUMBER(SEARCH(Search!$N$5,J2093))),OR(Search!$N$6="",ISNUMBER(SEARCH(Search!$N$6,J2093))),OR(Search!$N$7="",ISNUMBER(SEARCH(Search!$N$7,J2093))),OR(Search!$N$8="",ISNUMBER(SEARCH(Search!$N$8,J2093)))),1,0))</f>
        <v>0</v>
      </c>
      <c r="L2093" s="1" t="n">
        <f aca="false">L2092+K2093</f>
        <v>0</v>
      </c>
    </row>
    <row r="2094" customFormat="false" ht="15" hidden="false" customHeight="true" outlineLevel="0" collapsed="false">
      <c r="A2094" s="1" t="s">
        <v>337</v>
      </c>
      <c r="B2094" s="1" t="s">
        <v>4993</v>
      </c>
      <c r="C2094" s="1" t="n">
        <v>28</v>
      </c>
      <c r="E2094" s="1" t="s">
        <v>5033</v>
      </c>
      <c r="F2094" s="1" t="s">
        <v>3856</v>
      </c>
      <c r="G2094" s="1" t="s">
        <v>5512</v>
      </c>
      <c r="H2094" s="1" t="s">
        <v>2016</v>
      </c>
      <c r="I2094" s="1" t="s">
        <v>5513</v>
      </c>
      <c r="J2094" s="1" t="s">
        <v>5514</v>
      </c>
      <c r="K2094" s="1" t="n">
        <f aca="false">IF(Search!$D$5="",0,IF(AND(OR(Search!$N$5="",ISNUMBER(SEARCH(Search!$N$5,J2094))),OR(Search!$N$6="",ISNUMBER(SEARCH(Search!$N$6,J2094))),OR(Search!$N$7="",ISNUMBER(SEARCH(Search!$N$7,J2094))),OR(Search!$N$8="",ISNUMBER(SEARCH(Search!$N$8,J2094)))),1,0))</f>
        <v>0</v>
      </c>
      <c r="L2094" s="1" t="n">
        <f aca="false">L2093+K2094</f>
        <v>0</v>
      </c>
    </row>
    <row r="2095" customFormat="false" ht="15" hidden="false" customHeight="true" outlineLevel="0" collapsed="false">
      <c r="A2095" s="1" t="s">
        <v>337</v>
      </c>
      <c r="B2095" s="1" t="s">
        <v>4993</v>
      </c>
      <c r="C2095" s="1" t="n">
        <v>29</v>
      </c>
      <c r="E2095" s="1" t="s">
        <v>5185</v>
      </c>
      <c r="F2095" s="1" t="s">
        <v>621</v>
      </c>
      <c r="G2095" s="1" t="s">
        <v>5512</v>
      </c>
      <c r="H2095" s="1" t="s">
        <v>2016</v>
      </c>
      <c r="I2095" s="1" t="s">
        <v>5515</v>
      </c>
      <c r="J2095" s="1" t="s">
        <v>5516</v>
      </c>
      <c r="K2095" s="1" t="n">
        <f aca="false">IF(Search!$D$5="",0,IF(AND(OR(Search!$N$5="",ISNUMBER(SEARCH(Search!$N$5,J2095))),OR(Search!$N$6="",ISNUMBER(SEARCH(Search!$N$6,J2095))),OR(Search!$N$7="",ISNUMBER(SEARCH(Search!$N$7,J2095))),OR(Search!$N$8="",ISNUMBER(SEARCH(Search!$N$8,J2095)))),1,0))</f>
        <v>0</v>
      </c>
      <c r="L2095" s="1" t="n">
        <f aca="false">L2094+K2095</f>
        <v>0</v>
      </c>
    </row>
    <row r="2096" customFormat="false" ht="15" hidden="false" customHeight="true" outlineLevel="0" collapsed="false">
      <c r="A2096" s="1" t="s">
        <v>337</v>
      </c>
      <c r="B2096" s="1" t="s">
        <v>4993</v>
      </c>
      <c r="C2096" s="1" t="n">
        <v>31</v>
      </c>
      <c r="E2096" s="1" t="s">
        <v>5458</v>
      </c>
      <c r="J2096" s="1" t="s">
        <v>5458</v>
      </c>
      <c r="K2096" s="1" t="n">
        <f aca="false">IF(Search!$D$5="",0,IF(AND(OR(Search!$N$5="",ISNUMBER(SEARCH(Search!$N$5,J2096))),OR(Search!$N$6="",ISNUMBER(SEARCH(Search!$N$6,J2096))),OR(Search!$N$7="",ISNUMBER(SEARCH(Search!$N$7,J2096))),OR(Search!$N$8="",ISNUMBER(SEARCH(Search!$N$8,J2096)))),1,0))</f>
        <v>0</v>
      </c>
      <c r="L2096" s="1" t="n">
        <f aca="false">L2095+K2096</f>
        <v>0</v>
      </c>
    </row>
    <row r="2097" customFormat="false" ht="68.25" hidden="false" customHeight="true" outlineLevel="0" collapsed="false">
      <c r="A2097" s="1" t="s">
        <v>337</v>
      </c>
      <c r="B2097" s="1" t="s">
        <v>4993</v>
      </c>
      <c r="C2097" s="1" t="n">
        <v>32</v>
      </c>
      <c r="E2097" s="1" t="s">
        <v>5017</v>
      </c>
      <c r="F2097" s="46" t="s">
        <v>5036</v>
      </c>
      <c r="G2097" s="46" t="s">
        <v>5037</v>
      </c>
      <c r="H2097" s="46" t="s">
        <v>5038</v>
      </c>
      <c r="I2097" s="46" t="s">
        <v>5039</v>
      </c>
      <c r="J2097" s="46" t="s">
        <v>5040</v>
      </c>
      <c r="K2097" s="1" t="n">
        <f aca="false">IF(Search!$D$5="",0,IF(AND(OR(Search!$N$5="",ISNUMBER(SEARCH(Search!$N$5,J2097))),OR(Search!$N$6="",ISNUMBER(SEARCH(Search!$N$6,J2097))),OR(Search!$N$7="",ISNUMBER(SEARCH(Search!$N$7,J2097))),OR(Search!$N$8="",ISNUMBER(SEARCH(Search!$N$8,J2097)))),1,0))</f>
        <v>0</v>
      </c>
      <c r="L2097" s="1" t="n">
        <f aca="false">L2096+K2097</f>
        <v>0</v>
      </c>
    </row>
    <row r="2098" customFormat="false" ht="15" hidden="false" customHeight="true" outlineLevel="0" collapsed="false">
      <c r="A2098" s="1" t="s">
        <v>337</v>
      </c>
      <c r="B2098" s="1" t="s">
        <v>4993</v>
      </c>
      <c r="C2098" s="1" t="n">
        <v>33</v>
      </c>
      <c r="E2098" s="1" t="s">
        <v>5025</v>
      </c>
      <c r="F2098" s="1" t="s">
        <v>3220</v>
      </c>
      <c r="G2098" s="1" t="s">
        <v>5506</v>
      </c>
      <c r="H2098" s="1" t="s">
        <v>3799</v>
      </c>
      <c r="I2098" s="1" t="s">
        <v>1737</v>
      </c>
      <c r="J2098" s="1" t="s">
        <v>5517</v>
      </c>
      <c r="K2098" s="1" t="n">
        <f aca="false">IF(Search!$D$5="",0,IF(AND(OR(Search!$N$5="",ISNUMBER(SEARCH(Search!$N$5,J2098))),OR(Search!$N$6="",ISNUMBER(SEARCH(Search!$N$6,J2098))),OR(Search!$N$7="",ISNUMBER(SEARCH(Search!$N$7,J2098))),OR(Search!$N$8="",ISNUMBER(SEARCH(Search!$N$8,J2098)))),1,0))</f>
        <v>0</v>
      </c>
      <c r="L2098" s="1" t="n">
        <f aca="false">L2097+K2098</f>
        <v>0</v>
      </c>
    </row>
    <row r="2099" customFormat="false" ht="15" hidden="false" customHeight="true" outlineLevel="0" collapsed="false">
      <c r="A2099" s="1" t="s">
        <v>337</v>
      </c>
      <c r="B2099" s="1" t="s">
        <v>4993</v>
      </c>
      <c r="C2099" s="1" t="n">
        <v>34</v>
      </c>
      <c r="E2099" s="1" t="s">
        <v>5027</v>
      </c>
      <c r="F2099" s="1" t="s">
        <v>3241</v>
      </c>
      <c r="G2099" s="1" t="s">
        <v>577</v>
      </c>
      <c r="H2099" s="1" t="s">
        <v>579</v>
      </c>
      <c r="I2099" s="1" t="s">
        <v>3572</v>
      </c>
      <c r="J2099" s="1" t="s">
        <v>5518</v>
      </c>
      <c r="K2099" s="1" t="n">
        <f aca="false">IF(Search!$D$5="",0,IF(AND(OR(Search!$N$5="",ISNUMBER(SEARCH(Search!$N$5,J2099))),OR(Search!$N$6="",ISNUMBER(SEARCH(Search!$N$6,J2099))),OR(Search!$N$7="",ISNUMBER(SEARCH(Search!$N$7,J2099))),OR(Search!$N$8="",ISNUMBER(SEARCH(Search!$N$8,J2099)))),1,0))</f>
        <v>0</v>
      </c>
      <c r="L2099" s="1" t="n">
        <f aca="false">L2098+K2099</f>
        <v>0</v>
      </c>
    </row>
    <row r="2100" customFormat="false" ht="15" hidden="false" customHeight="true" outlineLevel="0" collapsed="false">
      <c r="A2100" s="1" t="s">
        <v>337</v>
      </c>
      <c r="B2100" s="1" t="s">
        <v>4993</v>
      </c>
      <c r="C2100" s="1" t="n">
        <v>35</v>
      </c>
      <c r="E2100" s="1" t="s">
        <v>5029</v>
      </c>
      <c r="F2100" s="1" t="s">
        <v>2062</v>
      </c>
      <c r="G2100" s="1" t="s">
        <v>1761</v>
      </c>
      <c r="H2100" s="1" t="s">
        <v>982</v>
      </c>
      <c r="I2100" s="1" t="s">
        <v>5519</v>
      </c>
      <c r="J2100" s="1" t="s">
        <v>5520</v>
      </c>
      <c r="K2100" s="1" t="n">
        <f aca="false">IF(Search!$D$5="",0,IF(AND(OR(Search!$N$5="",ISNUMBER(SEARCH(Search!$N$5,J2100))),OR(Search!$N$6="",ISNUMBER(SEARCH(Search!$N$6,J2100))),OR(Search!$N$7="",ISNUMBER(SEARCH(Search!$N$7,J2100))),OR(Search!$N$8="",ISNUMBER(SEARCH(Search!$N$8,J2100)))),1,0))</f>
        <v>0</v>
      </c>
      <c r="L2100" s="1" t="n">
        <f aca="false">L2099+K2100</f>
        <v>0</v>
      </c>
    </row>
    <row r="2101" customFormat="false" ht="15" hidden="false" customHeight="true" outlineLevel="0" collapsed="false">
      <c r="A2101" s="1" t="s">
        <v>337</v>
      </c>
      <c r="B2101" s="1" t="s">
        <v>4993</v>
      </c>
      <c r="C2101" s="1" t="n">
        <v>36</v>
      </c>
      <c r="E2101" s="1" t="s">
        <v>5031</v>
      </c>
      <c r="F2101" s="1" t="s">
        <v>749</v>
      </c>
      <c r="G2101" s="1" t="s">
        <v>2704</v>
      </c>
      <c r="H2101" s="1" t="s">
        <v>5051</v>
      </c>
      <c r="I2101" s="1" t="s">
        <v>5521</v>
      </c>
      <c r="J2101" s="1" t="s">
        <v>5522</v>
      </c>
      <c r="K2101" s="1" t="n">
        <f aca="false">IF(Search!$D$5="",0,IF(AND(OR(Search!$N$5="",ISNUMBER(SEARCH(Search!$N$5,J2101))),OR(Search!$N$6="",ISNUMBER(SEARCH(Search!$N$6,J2101))),OR(Search!$N$7="",ISNUMBER(SEARCH(Search!$N$7,J2101))),OR(Search!$N$8="",ISNUMBER(SEARCH(Search!$N$8,J2101)))),1,0))</f>
        <v>0</v>
      </c>
      <c r="L2101" s="1" t="n">
        <f aca="false">L2100+K2101</f>
        <v>0</v>
      </c>
    </row>
    <row r="2102" customFormat="false" ht="15" hidden="false" customHeight="true" outlineLevel="0" collapsed="false">
      <c r="A2102" s="1" t="s">
        <v>337</v>
      </c>
      <c r="B2102" s="1" t="s">
        <v>4993</v>
      </c>
      <c r="C2102" s="1" t="n">
        <v>37</v>
      </c>
      <c r="E2102" s="1" t="s">
        <v>5033</v>
      </c>
      <c r="F2102" s="1" t="s">
        <v>3856</v>
      </c>
      <c r="G2102" s="1" t="s">
        <v>5512</v>
      </c>
      <c r="H2102" s="1" t="s">
        <v>2016</v>
      </c>
      <c r="I2102" s="1" t="s">
        <v>5523</v>
      </c>
      <c r="J2102" s="1" t="s">
        <v>5524</v>
      </c>
      <c r="K2102" s="1" t="n">
        <f aca="false">IF(Search!$D$5="",0,IF(AND(OR(Search!$N$5="",ISNUMBER(SEARCH(Search!$N$5,J2102))),OR(Search!$N$6="",ISNUMBER(SEARCH(Search!$N$6,J2102))),OR(Search!$N$7="",ISNUMBER(SEARCH(Search!$N$7,J2102))),OR(Search!$N$8="",ISNUMBER(SEARCH(Search!$N$8,J2102)))),1,0))</f>
        <v>0</v>
      </c>
      <c r="L2102" s="1" t="n">
        <f aca="false">L2101+K2102</f>
        <v>0</v>
      </c>
    </row>
    <row r="2103" customFormat="false" ht="15" hidden="false" customHeight="true" outlineLevel="0" collapsed="false">
      <c r="A2103" s="1" t="s">
        <v>337</v>
      </c>
      <c r="B2103" s="1" t="s">
        <v>4993</v>
      </c>
      <c r="C2103" s="1" t="n">
        <v>38</v>
      </c>
      <c r="E2103" s="1" t="s">
        <v>5185</v>
      </c>
      <c r="F2103" s="1" t="s">
        <v>621</v>
      </c>
      <c r="G2103" s="1" t="s">
        <v>5512</v>
      </c>
      <c r="H2103" s="1" t="s">
        <v>2016</v>
      </c>
      <c r="I2103" s="1" t="s">
        <v>2502</v>
      </c>
      <c r="J2103" s="1" t="s">
        <v>5525</v>
      </c>
      <c r="K2103" s="1" t="n">
        <f aca="false">IF(Search!$D$5="",0,IF(AND(OR(Search!$N$5="",ISNUMBER(SEARCH(Search!$N$5,J2103))),OR(Search!$N$6="",ISNUMBER(SEARCH(Search!$N$6,J2103))),OR(Search!$N$7="",ISNUMBER(SEARCH(Search!$N$7,J2103))),OR(Search!$N$8="",ISNUMBER(SEARCH(Search!$N$8,J2103)))),1,0))</f>
        <v>0</v>
      </c>
      <c r="L2103" s="1" t="n">
        <f aca="false">L2102+K2103</f>
        <v>0</v>
      </c>
    </row>
    <row r="2104" customFormat="false" ht="15" hidden="false" customHeight="true" outlineLevel="0" collapsed="false">
      <c r="A2104" s="1" t="s">
        <v>337</v>
      </c>
      <c r="B2104" s="1" t="s">
        <v>4993</v>
      </c>
      <c r="C2104" s="1" t="n">
        <v>40</v>
      </c>
      <c r="E2104" s="1" t="s">
        <v>5526</v>
      </c>
      <c r="J2104" s="1" t="s">
        <v>5526</v>
      </c>
      <c r="K2104" s="1" t="n">
        <f aca="false">IF(Search!$D$5="",0,IF(AND(OR(Search!$N$5="",ISNUMBER(SEARCH(Search!$N$5,J2104))),OR(Search!$N$6="",ISNUMBER(SEARCH(Search!$N$6,J2104))),OR(Search!$N$7="",ISNUMBER(SEARCH(Search!$N$7,J2104))),OR(Search!$N$8="",ISNUMBER(SEARCH(Search!$N$8,J2104)))),1,0))</f>
        <v>0</v>
      </c>
      <c r="L2104" s="1" t="n">
        <f aca="false">L2103+K2104</f>
        <v>0</v>
      </c>
    </row>
    <row r="2105" customFormat="false" ht="15" hidden="false" customHeight="true" outlineLevel="0" collapsed="false">
      <c r="A2105" s="1" t="s">
        <v>337</v>
      </c>
      <c r="B2105" s="1" t="s">
        <v>4993</v>
      </c>
      <c r="C2105" s="1" t="n">
        <v>41</v>
      </c>
      <c r="E2105" s="1" t="s">
        <v>5527</v>
      </c>
      <c r="J2105" s="1" t="s">
        <v>5527</v>
      </c>
      <c r="K2105" s="1" t="n">
        <f aca="false">IF(Search!$D$5="",0,IF(AND(OR(Search!$N$5="",ISNUMBER(SEARCH(Search!$N$5,J2105))),OR(Search!$N$6="",ISNUMBER(SEARCH(Search!$N$6,J2105))),OR(Search!$N$7="",ISNUMBER(SEARCH(Search!$N$7,J2105))),OR(Search!$N$8="",ISNUMBER(SEARCH(Search!$N$8,J2105)))),1,0))</f>
        <v>0</v>
      </c>
      <c r="L2105" s="1" t="n">
        <f aca="false">L2104+K2105</f>
        <v>0</v>
      </c>
    </row>
    <row r="2106" customFormat="false" ht="15" hidden="false" customHeight="true" outlineLevel="0" collapsed="false">
      <c r="A2106" s="1" t="s">
        <v>337</v>
      </c>
      <c r="B2106" s="1" t="s">
        <v>4993</v>
      </c>
      <c r="C2106" s="1" t="n">
        <v>42</v>
      </c>
      <c r="E2106" s="1" t="s">
        <v>5528</v>
      </c>
      <c r="J2106" s="1" t="s">
        <v>5528</v>
      </c>
      <c r="K2106" s="1" t="n">
        <f aca="false">IF(Search!$D$5="",0,IF(AND(OR(Search!$N$5="",ISNUMBER(SEARCH(Search!$N$5,J2106))),OR(Search!$N$6="",ISNUMBER(SEARCH(Search!$N$6,J2106))),OR(Search!$N$7="",ISNUMBER(SEARCH(Search!$N$7,J2106))),OR(Search!$N$8="",ISNUMBER(SEARCH(Search!$N$8,J2106)))),1,0))</f>
        <v>0</v>
      </c>
      <c r="L2106" s="1" t="n">
        <f aca="false">L2105+K2106</f>
        <v>0</v>
      </c>
    </row>
    <row r="2107" customFormat="false" ht="15" hidden="false" customHeight="true" outlineLevel="0" collapsed="false">
      <c r="A2107" s="1" t="s">
        <v>337</v>
      </c>
      <c r="B2107" s="1" t="s">
        <v>4993</v>
      </c>
      <c r="C2107" s="1" t="n">
        <v>43</v>
      </c>
      <c r="E2107" s="1" t="s">
        <v>5529</v>
      </c>
      <c r="J2107" s="1" t="s">
        <v>5529</v>
      </c>
      <c r="K2107" s="1" t="n">
        <f aca="false">IF(Search!$D$5="",0,IF(AND(OR(Search!$N$5="",ISNUMBER(SEARCH(Search!$N$5,J2107))),OR(Search!$N$6="",ISNUMBER(SEARCH(Search!$N$6,J2107))),OR(Search!$N$7="",ISNUMBER(SEARCH(Search!$N$7,J2107))),OR(Search!$N$8="",ISNUMBER(SEARCH(Search!$N$8,J2107)))),1,0))</f>
        <v>0</v>
      </c>
      <c r="L2107" s="1" t="n">
        <f aca="false">L2106+K2107</f>
        <v>0</v>
      </c>
    </row>
    <row r="2108" customFormat="false" ht="15" hidden="false" customHeight="true" outlineLevel="0" collapsed="false">
      <c r="A2108" s="1" t="s">
        <v>337</v>
      </c>
      <c r="B2108" s="1" t="s">
        <v>4993</v>
      </c>
      <c r="C2108" s="1" t="n">
        <v>44</v>
      </c>
      <c r="E2108" s="1" t="s">
        <v>5530</v>
      </c>
      <c r="J2108" s="1" t="s">
        <v>5530</v>
      </c>
      <c r="K2108" s="1" t="n">
        <f aca="false">IF(Search!$D$5="",0,IF(AND(OR(Search!$N$5="",ISNUMBER(SEARCH(Search!$N$5,J2108))),OR(Search!$N$6="",ISNUMBER(SEARCH(Search!$N$6,J2108))),OR(Search!$N$7="",ISNUMBER(SEARCH(Search!$N$7,J2108))),OR(Search!$N$8="",ISNUMBER(SEARCH(Search!$N$8,J2108)))),1,0))</f>
        <v>0</v>
      </c>
      <c r="L2108" s="1" t="n">
        <f aca="false">L2107+K2108</f>
        <v>0</v>
      </c>
    </row>
    <row r="2109" customFormat="false" ht="15" hidden="false" customHeight="true" outlineLevel="0" collapsed="false">
      <c r="A2109" s="1" t="s">
        <v>337</v>
      </c>
      <c r="B2109" s="1" t="s">
        <v>4993</v>
      </c>
      <c r="C2109" s="1" t="n">
        <v>45</v>
      </c>
      <c r="E2109" s="1" t="s">
        <v>5531</v>
      </c>
      <c r="J2109" s="1" t="s">
        <v>5531</v>
      </c>
      <c r="K2109" s="1" t="n">
        <f aca="false">IF(Search!$D$5="",0,IF(AND(OR(Search!$N$5="",ISNUMBER(SEARCH(Search!$N$5,J2109))),OR(Search!$N$6="",ISNUMBER(SEARCH(Search!$N$6,J2109))),OR(Search!$N$7="",ISNUMBER(SEARCH(Search!$N$7,J2109))),OR(Search!$N$8="",ISNUMBER(SEARCH(Search!$N$8,J2109)))),1,0))</f>
        <v>0</v>
      </c>
      <c r="L2109" s="1" t="n">
        <f aca="false">L2108+K2109</f>
        <v>0</v>
      </c>
    </row>
    <row r="2110" customFormat="false" ht="15" hidden="false" customHeight="true" outlineLevel="0" collapsed="false">
      <c r="A2110" s="1" t="s">
        <v>337</v>
      </c>
      <c r="B2110" s="1" t="s">
        <v>4993</v>
      </c>
      <c r="C2110" s="1" t="n">
        <v>46</v>
      </c>
      <c r="E2110" s="1" t="s">
        <v>5532</v>
      </c>
      <c r="J2110" s="1" t="s">
        <v>5532</v>
      </c>
      <c r="K2110" s="1" t="n">
        <f aca="false">IF(Search!$D$5="",0,IF(AND(OR(Search!$N$5="",ISNUMBER(SEARCH(Search!$N$5,J2110))),OR(Search!$N$6="",ISNUMBER(SEARCH(Search!$N$6,J2110))),OR(Search!$N$7="",ISNUMBER(SEARCH(Search!$N$7,J2110))),OR(Search!$N$8="",ISNUMBER(SEARCH(Search!$N$8,J2110)))),1,0))</f>
        <v>0</v>
      </c>
      <c r="L2110" s="1" t="n">
        <f aca="false">L2109+K2110</f>
        <v>0</v>
      </c>
    </row>
    <row r="2111" customFormat="false" ht="15" hidden="false" customHeight="true" outlineLevel="0" collapsed="false">
      <c r="A2111" s="1" t="s">
        <v>337</v>
      </c>
      <c r="B2111" s="1" t="s">
        <v>4993</v>
      </c>
      <c r="C2111" s="1" t="n">
        <v>47</v>
      </c>
      <c r="E2111" s="1" t="s">
        <v>5533</v>
      </c>
      <c r="J2111" s="1" t="s">
        <v>5533</v>
      </c>
      <c r="K2111" s="1" t="n">
        <f aca="false">IF(Search!$D$5="",0,IF(AND(OR(Search!$N$5="",ISNUMBER(SEARCH(Search!$N$5,J2111))),OR(Search!$N$6="",ISNUMBER(SEARCH(Search!$N$6,J2111))),OR(Search!$N$7="",ISNUMBER(SEARCH(Search!$N$7,J2111))),OR(Search!$N$8="",ISNUMBER(SEARCH(Search!$N$8,J2111)))),1,0))</f>
        <v>0</v>
      </c>
      <c r="L2111" s="1" t="n">
        <f aca="false">L2110+K2111</f>
        <v>0</v>
      </c>
    </row>
    <row r="2112" customFormat="false" ht="15" hidden="false" customHeight="true" outlineLevel="0" collapsed="false">
      <c r="A2112" s="1" t="s">
        <v>337</v>
      </c>
      <c r="B2112" s="1" t="s">
        <v>4993</v>
      </c>
      <c r="C2112" s="1" t="n">
        <v>49</v>
      </c>
      <c r="E2112" s="1" t="s">
        <v>5534</v>
      </c>
      <c r="J2112" s="1" t="s">
        <v>5534</v>
      </c>
      <c r="K2112" s="1" t="n">
        <f aca="false">IF(Search!$D$5="",0,IF(AND(OR(Search!$N$5="",ISNUMBER(SEARCH(Search!$N$5,J2112))),OR(Search!$N$6="",ISNUMBER(SEARCH(Search!$N$6,J2112))),OR(Search!$N$7="",ISNUMBER(SEARCH(Search!$N$7,J2112))),OR(Search!$N$8="",ISNUMBER(SEARCH(Search!$N$8,J2112)))),1,0))</f>
        <v>0</v>
      </c>
      <c r="L2112" s="1" t="n">
        <f aca="false">L2111+K2112</f>
        <v>0</v>
      </c>
    </row>
    <row r="2113" customFormat="false" ht="15" hidden="false" customHeight="true" outlineLevel="0" collapsed="false">
      <c r="A2113" s="1" t="s">
        <v>340</v>
      </c>
      <c r="B2113" s="1" t="s">
        <v>4993</v>
      </c>
      <c r="C2113" s="1" t="n">
        <v>2</v>
      </c>
      <c r="E2113" s="1" t="s">
        <v>5535</v>
      </c>
      <c r="J2113" s="1" t="s">
        <v>5535</v>
      </c>
      <c r="K2113" s="1" t="n">
        <f aca="false">IF(Search!$D$5="",0,IF(AND(OR(Search!$N$5="",ISNUMBER(SEARCH(Search!$N$5,J2113))),OR(Search!$N$6="",ISNUMBER(SEARCH(Search!$N$6,J2113))),OR(Search!$N$7="",ISNUMBER(SEARCH(Search!$N$7,J2113))),OR(Search!$N$8="",ISNUMBER(SEARCH(Search!$N$8,J2113)))),1,0))</f>
        <v>0</v>
      </c>
      <c r="L2113" s="1" t="n">
        <f aca="false">L2112+K2113</f>
        <v>0</v>
      </c>
    </row>
    <row r="2114" customFormat="false" ht="15" hidden="false" customHeight="true" outlineLevel="0" collapsed="false">
      <c r="A2114" s="1" t="s">
        <v>340</v>
      </c>
      <c r="B2114" s="1" t="s">
        <v>4993</v>
      </c>
      <c r="C2114" s="1" t="n">
        <v>3</v>
      </c>
      <c r="E2114" s="1" t="s">
        <v>5536</v>
      </c>
      <c r="J2114" s="1" t="s">
        <v>5536</v>
      </c>
      <c r="K2114" s="1" t="n">
        <f aca="false">IF(Search!$D$5="",0,IF(AND(OR(Search!$N$5="",ISNUMBER(SEARCH(Search!$N$5,J2114))),OR(Search!$N$6="",ISNUMBER(SEARCH(Search!$N$6,J2114))),OR(Search!$N$7="",ISNUMBER(SEARCH(Search!$N$7,J2114))),OR(Search!$N$8="",ISNUMBER(SEARCH(Search!$N$8,J2114)))),1,0))</f>
        <v>0</v>
      </c>
      <c r="L2114" s="1" t="n">
        <f aca="false">L2113+K2114</f>
        <v>0</v>
      </c>
    </row>
    <row r="2115" customFormat="false" ht="15" hidden="false" customHeight="true" outlineLevel="0" collapsed="false">
      <c r="A2115" s="1" t="s">
        <v>340</v>
      </c>
      <c r="B2115" s="1" t="s">
        <v>4993</v>
      </c>
      <c r="C2115" s="1" t="n">
        <v>4</v>
      </c>
      <c r="E2115" s="1" t="s">
        <v>5537</v>
      </c>
      <c r="J2115" s="1" t="s">
        <v>5537</v>
      </c>
      <c r="K2115" s="1" t="n">
        <f aca="false">IF(Search!$D$5="",0,IF(AND(OR(Search!$N$5="",ISNUMBER(SEARCH(Search!$N$5,J2115))),OR(Search!$N$6="",ISNUMBER(SEARCH(Search!$N$6,J2115))),OR(Search!$N$7="",ISNUMBER(SEARCH(Search!$N$7,J2115))),OR(Search!$N$8="",ISNUMBER(SEARCH(Search!$N$8,J2115)))),1,0))</f>
        <v>0</v>
      </c>
      <c r="L2115" s="1" t="n">
        <f aca="false">L2114+K2115</f>
        <v>0</v>
      </c>
    </row>
    <row r="2116" customFormat="false" ht="15" hidden="false" customHeight="true" outlineLevel="0" collapsed="false">
      <c r="A2116" s="1" t="s">
        <v>340</v>
      </c>
      <c r="B2116" s="1" t="s">
        <v>4993</v>
      </c>
      <c r="C2116" s="1" t="n">
        <v>6</v>
      </c>
      <c r="E2116" s="1" t="s">
        <v>5538</v>
      </c>
      <c r="J2116" s="1" t="s">
        <v>5538</v>
      </c>
      <c r="K2116" s="1" t="n">
        <f aca="false">IF(Search!$D$5="",0,IF(AND(OR(Search!$N$5="",ISNUMBER(SEARCH(Search!$N$5,J2116))),OR(Search!$N$6="",ISNUMBER(SEARCH(Search!$N$6,J2116))),OR(Search!$N$7="",ISNUMBER(SEARCH(Search!$N$7,J2116))),OR(Search!$N$8="",ISNUMBER(SEARCH(Search!$N$8,J2116)))),1,0))</f>
        <v>0</v>
      </c>
      <c r="L2116" s="1" t="n">
        <f aca="false">L2115+K2116</f>
        <v>0</v>
      </c>
    </row>
    <row r="2117" customFormat="false" ht="15" hidden="false" customHeight="true" outlineLevel="0" collapsed="false">
      <c r="A2117" s="1" t="s">
        <v>340</v>
      </c>
      <c r="B2117" s="1" t="s">
        <v>4993</v>
      </c>
      <c r="C2117" s="1" t="n">
        <v>7</v>
      </c>
      <c r="E2117" s="1" t="s">
        <v>5263</v>
      </c>
      <c r="F2117" s="1" t="s">
        <v>5404</v>
      </c>
      <c r="G2117" s="1" t="s">
        <v>5539</v>
      </c>
      <c r="H2117" s="1" t="s">
        <v>5406</v>
      </c>
      <c r="J2117" s="1" t="s">
        <v>5540</v>
      </c>
      <c r="K2117" s="1" t="n">
        <f aca="false">IF(Search!$D$5="",0,IF(AND(OR(Search!$N$5="",ISNUMBER(SEARCH(Search!$N$5,J2117))),OR(Search!$N$6="",ISNUMBER(SEARCH(Search!$N$6,J2117))),OR(Search!$N$7="",ISNUMBER(SEARCH(Search!$N$7,J2117))),OR(Search!$N$8="",ISNUMBER(SEARCH(Search!$N$8,J2117)))),1,0))</f>
        <v>0</v>
      </c>
      <c r="L2117" s="1" t="n">
        <f aca="false">L2116+K2117</f>
        <v>0</v>
      </c>
    </row>
    <row r="2118" customFormat="false" ht="15" hidden="false" customHeight="true" outlineLevel="0" collapsed="false">
      <c r="A2118" s="1" t="s">
        <v>340</v>
      </c>
      <c r="B2118" s="1" t="s">
        <v>4993</v>
      </c>
      <c r="C2118" s="1" t="n">
        <v>8</v>
      </c>
      <c r="E2118" s="1" t="s">
        <v>5541</v>
      </c>
      <c r="F2118" s="1" t="s">
        <v>5542</v>
      </c>
      <c r="G2118" s="1" t="s">
        <v>5543</v>
      </c>
      <c r="H2118" s="1" t="s">
        <v>5544</v>
      </c>
      <c r="J2118" s="1" t="s">
        <v>5545</v>
      </c>
      <c r="K2118" s="1" t="n">
        <f aca="false">IF(Search!$D$5="",0,IF(AND(OR(Search!$N$5="",ISNUMBER(SEARCH(Search!$N$5,J2118))),OR(Search!$N$6="",ISNUMBER(SEARCH(Search!$N$6,J2118))),OR(Search!$N$7="",ISNUMBER(SEARCH(Search!$N$7,J2118))),OR(Search!$N$8="",ISNUMBER(SEARCH(Search!$N$8,J2118)))),1,0))</f>
        <v>0</v>
      </c>
      <c r="L2118" s="1" t="n">
        <f aca="false">L2117+K2118</f>
        <v>0</v>
      </c>
    </row>
    <row r="2119" customFormat="false" ht="15" hidden="false" customHeight="true" outlineLevel="0" collapsed="false">
      <c r="A2119" s="1" t="s">
        <v>340</v>
      </c>
      <c r="B2119" s="1" t="s">
        <v>4993</v>
      </c>
      <c r="C2119" s="1" t="n">
        <v>9</v>
      </c>
      <c r="E2119" s="1" t="s">
        <v>5546</v>
      </c>
      <c r="F2119" s="1" t="s">
        <v>5542</v>
      </c>
      <c r="G2119" s="1" t="s">
        <v>5547</v>
      </c>
      <c r="H2119" s="1" t="s">
        <v>5548</v>
      </c>
      <c r="J2119" s="1" t="s">
        <v>5549</v>
      </c>
      <c r="K2119" s="1" t="n">
        <f aca="false">IF(Search!$D$5="",0,IF(AND(OR(Search!$N$5="",ISNUMBER(SEARCH(Search!$N$5,J2119))),OR(Search!$N$6="",ISNUMBER(SEARCH(Search!$N$6,J2119))),OR(Search!$N$7="",ISNUMBER(SEARCH(Search!$N$7,J2119))),OR(Search!$N$8="",ISNUMBER(SEARCH(Search!$N$8,J2119)))),1,0))</f>
        <v>0</v>
      </c>
      <c r="L2119" s="1" t="n">
        <f aca="false">L2118+K2119</f>
        <v>0</v>
      </c>
    </row>
    <row r="2120" customFormat="false" ht="15" hidden="false" customHeight="true" outlineLevel="0" collapsed="false">
      <c r="A2120" s="1" t="s">
        <v>340</v>
      </c>
      <c r="B2120" s="1" t="s">
        <v>4993</v>
      </c>
      <c r="C2120" s="1" t="n">
        <v>10</v>
      </c>
      <c r="E2120" s="1" t="s">
        <v>5550</v>
      </c>
      <c r="F2120" s="1" t="s">
        <v>5551</v>
      </c>
      <c r="G2120" s="1" t="s">
        <v>5552</v>
      </c>
      <c r="H2120" s="1" t="s">
        <v>5553</v>
      </c>
      <c r="J2120" s="1" t="s">
        <v>5554</v>
      </c>
      <c r="K2120" s="1" t="n">
        <f aca="false">IF(Search!$D$5="",0,IF(AND(OR(Search!$N$5="",ISNUMBER(SEARCH(Search!$N$5,J2120))),OR(Search!$N$6="",ISNUMBER(SEARCH(Search!$N$6,J2120))),OR(Search!$N$7="",ISNUMBER(SEARCH(Search!$N$7,J2120))),OR(Search!$N$8="",ISNUMBER(SEARCH(Search!$N$8,J2120)))),1,0))</f>
        <v>0</v>
      </c>
      <c r="L2120" s="1" t="n">
        <f aca="false">L2119+K2120</f>
        <v>0</v>
      </c>
    </row>
    <row r="2121" customFormat="false" ht="15" hidden="false" customHeight="true" outlineLevel="0" collapsed="false">
      <c r="A2121" s="1" t="s">
        <v>340</v>
      </c>
      <c r="B2121" s="1" t="s">
        <v>4993</v>
      </c>
      <c r="C2121" s="1" t="n">
        <v>11</v>
      </c>
      <c r="E2121" s="1" t="s">
        <v>5555</v>
      </c>
      <c r="F2121" s="1" t="s">
        <v>5556</v>
      </c>
      <c r="G2121" s="1" t="s">
        <v>5557</v>
      </c>
      <c r="H2121" s="1" t="s">
        <v>5558</v>
      </c>
      <c r="J2121" s="1" t="s">
        <v>5559</v>
      </c>
      <c r="K2121" s="1" t="n">
        <f aca="false">IF(Search!$D$5="",0,IF(AND(OR(Search!$N$5="",ISNUMBER(SEARCH(Search!$N$5,J2121))),OR(Search!$N$6="",ISNUMBER(SEARCH(Search!$N$6,J2121))),OR(Search!$N$7="",ISNUMBER(SEARCH(Search!$N$7,J2121))),OR(Search!$N$8="",ISNUMBER(SEARCH(Search!$N$8,J2121)))),1,0))</f>
        <v>0</v>
      </c>
      <c r="L2121" s="1" t="n">
        <f aca="false">L2120+K2121</f>
        <v>0</v>
      </c>
    </row>
    <row r="2122" customFormat="false" ht="15" hidden="false" customHeight="true" outlineLevel="0" collapsed="false">
      <c r="A2122" s="1" t="s">
        <v>340</v>
      </c>
      <c r="B2122" s="1" t="s">
        <v>4993</v>
      </c>
      <c r="C2122" s="1" t="n">
        <v>12</v>
      </c>
      <c r="E2122" s="1" t="s">
        <v>5560</v>
      </c>
      <c r="F2122" s="1" t="s">
        <v>5561</v>
      </c>
      <c r="G2122" s="1" t="s">
        <v>5562</v>
      </c>
      <c r="H2122" s="1" t="s">
        <v>5563</v>
      </c>
      <c r="J2122" s="1" t="s">
        <v>5564</v>
      </c>
      <c r="K2122" s="1" t="n">
        <f aca="false">IF(Search!$D$5="",0,IF(AND(OR(Search!$N$5="",ISNUMBER(SEARCH(Search!$N$5,J2122))),OR(Search!$N$6="",ISNUMBER(SEARCH(Search!$N$6,J2122))),OR(Search!$N$7="",ISNUMBER(SEARCH(Search!$N$7,J2122))),OR(Search!$N$8="",ISNUMBER(SEARCH(Search!$N$8,J2122)))),1,0))</f>
        <v>0</v>
      </c>
      <c r="L2122" s="1" t="n">
        <f aca="false">L2121+K2122</f>
        <v>0</v>
      </c>
    </row>
    <row r="2123" customFormat="false" ht="15" hidden="false" customHeight="true" outlineLevel="0" collapsed="false">
      <c r="A2123" s="1" t="s">
        <v>340</v>
      </c>
      <c r="B2123" s="1" t="s">
        <v>4993</v>
      </c>
      <c r="C2123" s="1" t="n">
        <v>14</v>
      </c>
      <c r="E2123" s="1" t="s">
        <v>5565</v>
      </c>
      <c r="J2123" s="1" t="s">
        <v>5565</v>
      </c>
      <c r="K2123" s="1" t="n">
        <f aca="false">IF(Search!$D$5="",0,IF(AND(OR(Search!$N$5="",ISNUMBER(SEARCH(Search!$N$5,J2123))),OR(Search!$N$6="",ISNUMBER(SEARCH(Search!$N$6,J2123))),OR(Search!$N$7="",ISNUMBER(SEARCH(Search!$N$7,J2123))),OR(Search!$N$8="",ISNUMBER(SEARCH(Search!$N$8,J2123)))),1,0))</f>
        <v>0</v>
      </c>
      <c r="L2123" s="1" t="n">
        <f aca="false">L2122+K2123</f>
        <v>0</v>
      </c>
    </row>
    <row r="2124" customFormat="false" ht="54.75" hidden="false" customHeight="true" outlineLevel="0" collapsed="false">
      <c r="A2124" s="1" t="s">
        <v>340</v>
      </c>
      <c r="B2124" s="1" t="s">
        <v>4993</v>
      </c>
      <c r="C2124" s="1" t="n">
        <v>15</v>
      </c>
      <c r="E2124" s="1" t="s">
        <v>5566</v>
      </c>
      <c r="F2124" s="1" t="s">
        <v>5017</v>
      </c>
      <c r="G2124" s="46" t="s">
        <v>5496</v>
      </c>
      <c r="H2124" s="46" t="s">
        <v>5036</v>
      </c>
      <c r="I2124" s="46" t="s">
        <v>5567</v>
      </c>
      <c r="J2124" s="46" t="s">
        <v>5568</v>
      </c>
      <c r="K2124" s="1" t="n">
        <f aca="false">IF(Search!$D$5="",0,IF(AND(OR(Search!$N$5="",ISNUMBER(SEARCH(Search!$N$5,J2124))),OR(Search!$N$6="",ISNUMBER(SEARCH(Search!$N$6,J2124))),OR(Search!$N$7="",ISNUMBER(SEARCH(Search!$N$7,J2124))),OR(Search!$N$8="",ISNUMBER(SEARCH(Search!$N$8,J2124)))),1,0))</f>
        <v>0</v>
      </c>
      <c r="L2124" s="1" t="n">
        <f aca="false">L2123+K2124</f>
        <v>0</v>
      </c>
    </row>
    <row r="2125" customFormat="false" ht="15" hidden="false" customHeight="true" outlineLevel="0" collapsed="false">
      <c r="A2125" s="1" t="s">
        <v>340</v>
      </c>
      <c r="B2125" s="1" t="s">
        <v>4993</v>
      </c>
      <c r="C2125" s="1" t="n">
        <v>16</v>
      </c>
      <c r="E2125" s="1" t="s">
        <v>5569</v>
      </c>
      <c r="F2125" s="1" t="s">
        <v>5023</v>
      </c>
      <c r="G2125" s="1" t="s">
        <v>627</v>
      </c>
      <c r="H2125" s="1" t="s">
        <v>492</v>
      </c>
      <c r="I2125" s="1" t="s">
        <v>3798</v>
      </c>
      <c r="J2125" s="1" t="s">
        <v>5570</v>
      </c>
      <c r="K2125" s="1" t="n">
        <f aca="false">IF(Search!$D$5="",0,IF(AND(OR(Search!$N$5="",ISNUMBER(SEARCH(Search!$N$5,J2125))),OR(Search!$N$6="",ISNUMBER(SEARCH(Search!$N$6,J2125))),OR(Search!$N$7="",ISNUMBER(SEARCH(Search!$N$7,J2125))),OR(Search!$N$8="",ISNUMBER(SEARCH(Search!$N$8,J2125)))),1,0))</f>
        <v>0</v>
      </c>
      <c r="L2125" s="1" t="n">
        <f aca="false">L2124+K2125</f>
        <v>0</v>
      </c>
    </row>
    <row r="2126" customFormat="false" ht="15" hidden="false" customHeight="true" outlineLevel="0" collapsed="false">
      <c r="A2126" s="1" t="s">
        <v>340</v>
      </c>
      <c r="B2126" s="1" t="s">
        <v>4993</v>
      </c>
      <c r="C2126" s="1" t="n">
        <v>17</v>
      </c>
      <c r="E2126" s="1" t="s">
        <v>5571</v>
      </c>
      <c r="F2126" s="1" t="s">
        <v>5025</v>
      </c>
      <c r="G2126" s="1" t="s">
        <v>627</v>
      </c>
      <c r="H2126" s="1" t="s">
        <v>2699</v>
      </c>
      <c r="I2126" s="1" t="s">
        <v>3220</v>
      </c>
      <c r="J2126" s="1" t="s">
        <v>5572</v>
      </c>
      <c r="K2126" s="1" t="n">
        <f aca="false">IF(Search!$D$5="",0,IF(AND(OR(Search!$N$5="",ISNUMBER(SEARCH(Search!$N$5,J2126))),OR(Search!$N$6="",ISNUMBER(SEARCH(Search!$N$6,J2126))),OR(Search!$N$7="",ISNUMBER(SEARCH(Search!$N$7,J2126))),OR(Search!$N$8="",ISNUMBER(SEARCH(Search!$N$8,J2126)))),1,0))</f>
        <v>0</v>
      </c>
      <c r="L2126" s="1" t="n">
        <f aca="false">L2125+K2126</f>
        <v>0</v>
      </c>
    </row>
    <row r="2127" customFormat="false" ht="15" hidden="false" customHeight="true" outlineLevel="0" collapsed="false">
      <c r="A2127" s="1" t="s">
        <v>340</v>
      </c>
      <c r="B2127" s="1" t="s">
        <v>4993</v>
      </c>
      <c r="C2127" s="1" t="n">
        <v>18</v>
      </c>
      <c r="E2127" s="1" t="s">
        <v>5573</v>
      </c>
      <c r="F2127" s="1" t="s">
        <v>5025</v>
      </c>
      <c r="G2127" s="1" t="s">
        <v>2746</v>
      </c>
      <c r="H2127" s="1" t="s">
        <v>2820</v>
      </c>
      <c r="I2127" s="1" t="s">
        <v>2704</v>
      </c>
      <c r="J2127" s="1" t="s">
        <v>5574</v>
      </c>
      <c r="K2127" s="1" t="n">
        <f aca="false">IF(Search!$D$5="",0,IF(AND(OR(Search!$N$5="",ISNUMBER(SEARCH(Search!$N$5,J2127))),OR(Search!$N$6="",ISNUMBER(SEARCH(Search!$N$6,J2127))),OR(Search!$N$7="",ISNUMBER(SEARCH(Search!$N$7,J2127))),OR(Search!$N$8="",ISNUMBER(SEARCH(Search!$N$8,J2127)))),1,0))</f>
        <v>0</v>
      </c>
      <c r="L2127" s="1" t="n">
        <f aca="false">L2126+K2127</f>
        <v>0</v>
      </c>
    </row>
    <row r="2128" customFormat="false" ht="15" hidden="false" customHeight="true" outlineLevel="0" collapsed="false">
      <c r="A2128" s="1" t="s">
        <v>340</v>
      </c>
      <c r="B2128" s="1" t="s">
        <v>4993</v>
      </c>
      <c r="C2128" s="1" t="n">
        <v>19</v>
      </c>
      <c r="E2128" s="1" t="s">
        <v>5575</v>
      </c>
      <c r="F2128" s="1" t="s">
        <v>5027</v>
      </c>
      <c r="G2128" s="1" t="s">
        <v>2746</v>
      </c>
      <c r="H2128" s="1" t="s">
        <v>780</v>
      </c>
      <c r="I2128" s="1" t="s">
        <v>5513</v>
      </c>
      <c r="J2128" s="1" t="s">
        <v>5576</v>
      </c>
      <c r="K2128" s="1" t="n">
        <f aca="false">IF(Search!$D$5="",0,IF(AND(OR(Search!$N$5="",ISNUMBER(SEARCH(Search!$N$5,J2128))),OR(Search!$N$6="",ISNUMBER(SEARCH(Search!$N$6,J2128))),OR(Search!$N$7="",ISNUMBER(SEARCH(Search!$N$7,J2128))),OR(Search!$N$8="",ISNUMBER(SEARCH(Search!$N$8,J2128)))),1,0))</f>
        <v>0</v>
      </c>
      <c r="L2128" s="1" t="n">
        <f aca="false">L2127+K2128</f>
        <v>0</v>
      </c>
    </row>
    <row r="2129" customFormat="false" ht="15" hidden="false" customHeight="true" outlineLevel="0" collapsed="false">
      <c r="A2129" s="1" t="s">
        <v>340</v>
      </c>
      <c r="B2129" s="1" t="s">
        <v>4993</v>
      </c>
      <c r="C2129" s="1" t="n">
        <v>20</v>
      </c>
      <c r="E2129" s="1" t="s">
        <v>5577</v>
      </c>
      <c r="F2129" s="1" t="s">
        <v>5027</v>
      </c>
      <c r="G2129" s="1" t="s">
        <v>585</v>
      </c>
      <c r="H2129" s="1" t="s">
        <v>2704</v>
      </c>
      <c r="I2129" s="1" t="s">
        <v>2016</v>
      </c>
      <c r="J2129" s="1" t="s">
        <v>5578</v>
      </c>
      <c r="K2129" s="1" t="n">
        <f aca="false">IF(Search!$D$5="",0,IF(AND(OR(Search!$N$5="",ISNUMBER(SEARCH(Search!$N$5,J2129))),OR(Search!$N$6="",ISNUMBER(SEARCH(Search!$N$6,J2129))),OR(Search!$N$7="",ISNUMBER(SEARCH(Search!$N$7,J2129))),OR(Search!$N$8="",ISNUMBER(SEARCH(Search!$N$8,J2129)))),1,0))</f>
        <v>0</v>
      </c>
      <c r="L2129" s="1" t="n">
        <f aca="false">L2128+K2129</f>
        <v>0</v>
      </c>
    </row>
    <row r="2130" customFormat="false" ht="15" hidden="false" customHeight="true" outlineLevel="0" collapsed="false">
      <c r="A2130" s="1" t="s">
        <v>340</v>
      </c>
      <c r="B2130" s="1" t="s">
        <v>4993</v>
      </c>
      <c r="C2130" s="1" t="n">
        <v>21</v>
      </c>
      <c r="E2130" s="1" t="s">
        <v>5579</v>
      </c>
      <c r="F2130" s="1" t="s">
        <v>5029</v>
      </c>
      <c r="G2130" s="1" t="s">
        <v>585</v>
      </c>
      <c r="H2130" s="1" t="s">
        <v>2710</v>
      </c>
      <c r="I2130" s="1" t="s">
        <v>3712</v>
      </c>
      <c r="J2130" s="1" t="s">
        <v>5580</v>
      </c>
      <c r="K2130" s="1" t="n">
        <f aca="false">IF(Search!$D$5="",0,IF(AND(OR(Search!$N$5="",ISNUMBER(SEARCH(Search!$N$5,J2130))),OR(Search!$N$6="",ISNUMBER(SEARCH(Search!$N$6,J2130))),OR(Search!$N$7="",ISNUMBER(SEARCH(Search!$N$7,J2130))),OR(Search!$N$8="",ISNUMBER(SEARCH(Search!$N$8,J2130)))),1,0))</f>
        <v>0</v>
      </c>
      <c r="L2130" s="1" t="n">
        <f aca="false">L2129+K2130</f>
        <v>0</v>
      </c>
    </row>
    <row r="2131" customFormat="false" ht="15" hidden="false" customHeight="true" outlineLevel="0" collapsed="false">
      <c r="A2131" s="1" t="s">
        <v>340</v>
      </c>
      <c r="B2131" s="1" t="s">
        <v>4993</v>
      </c>
      <c r="C2131" s="1" t="n">
        <v>22</v>
      </c>
      <c r="E2131" s="1" t="s">
        <v>5581</v>
      </c>
      <c r="F2131" s="1" t="s">
        <v>5029</v>
      </c>
      <c r="G2131" s="1" t="s">
        <v>585</v>
      </c>
      <c r="H2131" s="1" t="s">
        <v>2717</v>
      </c>
      <c r="I2131" s="1" t="s">
        <v>5186</v>
      </c>
      <c r="J2131" s="1" t="s">
        <v>5582</v>
      </c>
      <c r="K2131" s="1" t="n">
        <f aca="false">IF(Search!$D$5="",0,IF(AND(OR(Search!$N$5="",ISNUMBER(SEARCH(Search!$N$5,J2131))),OR(Search!$N$6="",ISNUMBER(SEARCH(Search!$N$6,J2131))),OR(Search!$N$7="",ISNUMBER(SEARCH(Search!$N$7,J2131))),OR(Search!$N$8="",ISNUMBER(SEARCH(Search!$N$8,J2131)))),1,0))</f>
        <v>0</v>
      </c>
      <c r="L2131" s="1" t="n">
        <f aca="false">L2130+K2131</f>
        <v>0</v>
      </c>
    </row>
    <row r="2132" customFormat="false" ht="15" hidden="false" customHeight="true" outlineLevel="0" collapsed="false">
      <c r="A2132" s="1" t="s">
        <v>340</v>
      </c>
      <c r="B2132" s="1" t="s">
        <v>4993</v>
      </c>
      <c r="C2132" s="1" t="n">
        <v>23</v>
      </c>
      <c r="E2132" s="1" t="s">
        <v>5583</v>
      </c>
      <c r="F2132" s="1" t="s">
        <v>5031</v>
      </c>
      <c r="G2132" s="1" t="s">
        <v>2168</v>
      </c>
      <c r="H2132" s="1" t="s">
        <v>3831</v>
      </c>
      <c r="I2132" s="1" t="s">
        <v>3721</v>
      </c>
      <c r="J2132" s="1" t="s">
        <v>5584</v>
      </c>
      <c r="K2132" s="1" t="n">
        <f aca="false">IF(Search!$D$5="",0,IF(AND(OR(Search!$N$5="",ISNUMBER(SEARCH(Search!$N$5,J2132))),OR(Search!$N$6="",ISNUMBER(SEARCH(Search!$N$6,J2132))),OR(Search!$N$7="",ISNUMBER(SEARCH(Search!$N$7,J2132))),OR(Search!$N$8="",ISNUMBER(SEARCH(Search!$N$8,J2132)))),1,0))</f>
        <v>0</v>
      </c>
      <c r="L2132" s="1" t="n">
        <f aca="false">L2131+K2132</f>
        <v>0</v>
      </c>
    </row>
    <row r="2133" customFormat="false" ht="15" hidden="false" customHeight="true" outlineLevel="0" collapsed="false">
      <c r="A2133" s="1" t="s">
        <v>340</v>
      </c>
      <c r="B2133" s="1" t="s">
        <v>4993</v>
      </c>
      <c r="C2133" s="1" t="n">
        <v>24</v>
      </c>
      <c r="E2133" s="1" t="s">
        <v>5585</v>
      </c>
      <c r="F2133" s="1" t="s">
        <v>5031</v>
      </c>
      <c r="G2133" s="1" t="s">
        <v>2168</v>
      </c>
      <c r="H2133" s="1" t="s">
        <v>749</v>
      </c>
      <c r="I2133" s="1" t="s">
        <v>2895</v>
      </c>
      <c r="J2133" s="1" t="s">
        <v>5586</v>
      </c>
      <c r="K2133" s="1" t="n">
        <f aca="false">IF(Search!$D$5="",0,IF(AND(OR(Search!$N$5="",ISNUMBER(SEARCH(Search!$N$5,J2133))),OR(Search!$N$6="",ISNUMBER(SEARCH(Search!$N$6,J2133))),OR(Search!$N$7="",ISNUMBER(SEARCH(Search!$N$7,J2133))),OR(Search!$N$8="",ISNUMBER(SEARCH(Search!$N$8,J2133)))),1,0))</f>
        <v>0</v>
      </c>
      <c r="L2133" s="1" t="n">
        <f aca="false">L2132+K2133</f>
        <v>0</v>
      </c>
    </row>
    <row r="2134" customFormat="false" ht="15" hidden="false" customHeight="true" outlineLevel="0" collapsed="false">
      <c r="A2134" s="1" t="s">
        <v>340</v>
      </c>
      <c r="B2134" s="1" t="s">
        <v>4993</v>
      </c>
      <c r="C2134" s="1" t="n">
        <v>26</v>
      </c>
      <c r="E2134" s="1" t="s">
        <v>5440</v>
      </c>
      <c r="J2134" s="1" t="s">
        <v>5440</v>
      </c>
      <c r="K2134" s="1" t="n">
        <f aca="false">IF(Search!$D$5="",0,IF(AND(OR(Search!$N$5="",ISNUMBER(SEARCH(Search!$N$5,J2134))),OR(Search!$N$6="",ISNUMBER(SEARCH(Search!$N$6,J2134))),OR(Search!$N$7="",ISNUMBER(SEARCH(Search!$N$7,J2134))),OR(Search!$N$8="",ISNUMBER(SEARCH(Search!$N$8,J2134)))),1,0))</f>
        <v>0</v>
      </c>
      <c r="L2134" s="1" t="n">
        <f aca="false">L2133+K2134</f>
        <v>0</v>
      </c>
    </row>
    <row r="2135" customFormat="false" ht="68.25" hidden="false" customHeight="true" outlineLevel="0" collapsed="false">
      <c r="A2135" s="1" t="s">
        <v>340</v>
      </c>
      <c r="B2135" s="1" t="s">
        <v>4993</v>
      </c>
      <c r="C2135" s="1" t="n">
        <v>27</v>
      </c>
      <c r="E2135" s="1" t="s">
        <v>5017</v>
      </c>
      <c r="F2135" s="46" t="s">
        <v>5036</v>
      </c>
      <c r="G2135" s="46" t="s">
        <v>5037</v>
      </c>
      <c r="H2135" s="46" t="s">
        <v>5038</v>
      </c>
      <c r="I2135" s="46" t="s">
        <v>5039</v>
      </c>
      <c r="J2135" s="46" t="s">
        <v>5040</v>
      </c>
      <c r="K2135" s="1" t="n">
        <f aca="false">IF(Search!$D$5="",0,IF(AND(OR(Search!$N$5="",ISNUMBER(SEARCH(Search!$N$5,J2135))),OR(Search!$N$6="",ISNUMBER(SEARCH(Search!$N$6,J2135))),OR(Search!$N$7="",ISNUMBER(SEARCH(Search!$N$7,J2135))),OR(Search!$N$8="",ISNUMBER(SEARCH(Search!$N$8,J2135)))),1,0))</f>
        <v>0</v>
      </c>
      <c r="L2135" s="1" t="n">
        <f aca="false">L2134+K2135</f>
        <v>0</v>
      </c>
    </row>
    <row r="2136" customFormat="false" ht="15" hidden="false" customHeight="true" outlineLevel="0" collapsed="false">
      <c r="A2136" s="1" t="s">
        <v>340</v>
      </c>
      <c r="B2136" s="1" t="s">
        <v>4993</v>
      </c>
      <c r="C2136" s="1" t="n">
        <v>28</v>
      </c>
      <c r="E2136" s="1" t="s">
        <v>5023</v>
      </c>
      <c r="F2136" s="1" t="s">
        <v>492</v>
      </c>
      <c r="G2136" s="1" t="s">
        <v>1967</v>
      </c>
      <c r="H2136" s="1" t="s">
        <v>2735</v>
      </c>
      <c r="I2136" s="1" t="s">
        <v>2276</v>
      </c>
      <c r="J2136" s="1" t="s">
        <v>5587</v>
      </c>
      <c r="K2136" s="1" t="n">
        <f aca="false">IF(Search!$D$5="",0,IF(AND(OR(Search!$N$5="",ISNUMBER(SEARCH(Search!$N$5,J2136))),OR(Search!$N$6="",ISNUMBER(SEARCH(Search!$N$6,J2136))),OR(Search!$N$7="",ISNUMBER(SEARCH(Search!$N$7,J2136))),OR(Search!$N$8="",ISNUMBER(SEARCH(Search!$N$8,J2136)))),1,0))</f>
        <v>0</v>
      </c>
      <c r="L2136" s="1" t="n">
        <f aca="false">L2135+K2136</f>
        <v>0</v>
      </c>
    </row>
    <row r="2137" customFormat="false" ht="15" hidden="false" customHeight="true" outlineLevel="0" collapsed="false">
      <c r="A2137" s="1" t="s">
        <v>340</v>
      </c>
      <c r="B2137" s="1" t="s">
        <v>4993</v>
      </c>
      <c r="C2137" s="1" t="n">
        <v>29</v>
      </c>
      <c r="E2137" s="1" t="s">
        <v>5025</v>
      </c>
      <c r="F2137" s="1" t="s">
        <v>2699</v>
      </c>
      <c r="G2137" s="1" t="s">
        <v>3799</v>
      </c>
      <c r="H2137" s="1" t="s">
        <v>627</v>
      </c>
      <c r="I2137" s="1" t="s">
        <v>2064</v>
      </c>
      <c r="J2137" s="1" t="s">
        <v>5588</v>
      </c>
      <c r="K2137" s="1" t="n">
        <f aca="false">IF(Search!$D$5="",0,IF(AND(OR(Search!$N$5="",ISNUMBER(SEARCH(Search!$N$5,J2137))),OR(Search!$N$6="",ISNUMBER(SEARCH(Search!$N$6,J2137))),OR(Search!$N$7="",ISNUMBER(SEARCH(Search!$N$7,J2137))),OR(Search!$N$8="",ISNUMBER(SEARCH(Search!$N$8,J2137)))),1,0))</f>
        <v>0</v>
      </c>
      <c r="L2137" s="1" t="n">
        <f aca="false">L2136+K2137</f>
        <v>0</v>
      </c>
    </row>
    <row r="2138" customFormat="false" ht="15" hidden="false" customHeight="true" outlineLevel="0" collapsed="false">
      <c r="A2138" s="1" t="s">
        <v>340</v>
      </c>
      <c r="B2138" s="1" t="s">
        <v>4993</v>
      </c>
      <c r="C2138" s="1" t="n">
        <v>30</v>
      </c>
      <c r="E2138" s="1" t="s">
        <v>5025</v>
      </c>
      <c r="F2138" s="1" t="s">
        <v>2820</v>
      </c>
      <c r="G2138" s="1" t="s">
        <v>3799</v>
      </c>
      <c r="H2138" s="1" t="s">
        <v>627</v>
      </c>
      <c r="I2138" s="1" t="s">
        <v>5589</v>
      </c>
      <c r="J2138" s="1" t="s">
        <v>5590</v>
      </c>
      <c r="K2138" s="1" t="n">
        <f aca="false">IF(Search!$D$5="",0,IF(AND(OR(Search!$N$5="",ISNUMBER(SEARCH(Search!$N$5,J2138))),OR(Search!$N$6="",ISNUMBER(SEARCH(Search!$N$6,J2138))),OR(Search!$N$7="",ISNUMBER(SEARCH(Search!$N$7,J2138))),OR(Search!$N$8="",ISNUMBER(SEARCH(Search!$N$8,J2138)))),1,0))</f>
        <v>0</v>
      </c>
      <c r="L2138" s="1" t="n">
        <f aca="false">L2137+K2138</f>
        <v>0</v>
      </c>
    </row>
    <row r="2139" customFormat="false" ht="15" hidden="false" customHeight="true" outlineLevel="0" collapsed="false">
      <c r="A2139" s="1" t="s">
        <v>340</v>
      </c>
      <c r="B2139" s="1" t="s">
        <v>4993</v>
      </c>
      <c r="C2139" s="1" t="n">
        <v>31</v>
      </c>
      <c r="E2139" s="1" t="s">
        <v>5027</v>
      </c>
      <c r="F2139" s="1" t="s">
        <v>2704</v>
      </c>
      <c r="G2139" s="1" t="s">
        <v>579</v>
      </c>
      <c r="H2139" s="1" t="s">
        <v>1660</v>
      </c>
      <c r="I2139" s="1" t="s">
        <v>478</v>
      </c>
      <c r="J2139" s="1" t="s">
        <v>5591</v>
      </c>
      <c r="K2139" s="1" t="n">
        <f aca="false">IF(Search!$D$5="",0,IF(AND(OR(Search!$N$5="",ISNUMBER(SEARCH(Search!$N$5,J2139))),OR(Search!$N$6="",ISNUMBER(SEARCH(Search!$N$6,J2139))),OR(Search!$N$7="",ISNUMBER(SEARCH(Search!$N$7,J2139))),OR(Search!$N$8="",ISNUMBER(SEARCH(Search!$N$8,J2139)))),1,0))</f>
        <v>0</v>
      </c>
      <c r="L2139" s="1" t="n">
        <f aca="false">L2138+K2139</f>
        <v>0</v>
      </c>
    </row>
    <row r="2140" customFormat="false" ht="15" hidden="false" customHeight="true" outlineLevel="0" collapsed="false">
      <c r="A2140" s="1" t="s">
        <v>340</v>
      </c>
      <c r="B2140" s="1" t="s">
        <v>4993</v>
      </c>
      <c r="C2140" s="1" t="n">
        <v>32</v>
      </c>
      <c r="E2140" s="1" t="s">
        <v>5027</v>
      </c>
      <c r="F2140" s="1" t="s">
        <v>780</v>
      </c>
      <c r="G2140" s="1" t="s">
        <v>579</v>
      </c>
      <c r="H2140" s="1" t="s">
        <v>1660</v>
      </c>
      <c r="I2140" s="1" t="s">
        <v>5592</v>
      </c>
      <c r="J2140" s="1" t="s">
        <v>5593</v>
      </c>
      <c r="K2140" s="1" t="n">
        <f aca="false">IF(Search!$D$5="",0,IF(AND(OR(Search!$N$5="",ISNUMBER(SEARCH(Search!$N$5,J2140))),OR(Search!$N$6="",ISNUMBER(SEARCH(Search!$N$6,J2140))),OR(Search!$N$7="",ISNUMBER(SEARCH(Search!$N$7,J2140))),OR(Search!$N$8="",ISNUMBER(SEARCH(Search!$N$8,J2140)))),1,0))</f>
        <v>0</v>
      </c>
      <c r="L2140" s="1" t="n">
        <f aca="false">L2139+K2140</f>
        <v>0</v>
      </c>
    </row>
    <row r="2141" customFormat="false" ht="15" hidden="false" customHeight="true" outlineLevel="0" collapsed="false">
      <c r="A2141" s="1" t="s">
        <v>340</v>
      </c>
      <c r="B2141" s="1" t="s">
        <v>4993</v>
      </c>
      <c r="C2141" s="1" t="n">
        <v>33</v>
      </c>
      <c r="E2141" s="1" t="s">
        <v>5029</v>
      </c>
      <c r="F2141" s="1" t="s">
        <v>2710</v>
      </c>
      <c r="G2141" s="1" t="s">
        <v>982</v>
      </c>
      <c r="H2141" s="1" t="s">
        <v>2685</v>
      </c>
      <c r="I2141" s="1" t="s">
        <v>3161</v>
      </c>
      <c r="J2141" s="1" t="s">
        <v>5594</v>
      </c>
      <c r="K2141" s="1" t="n">
        <f aca="false">IF(Search!$D$5="",0,IF(AND(OR(Search!$N$5="",ISNUMBER(SEARCH(Search!$N$5,J2141))),OR(Search!$N$6="",ISNUMBER(SEARCH(Search!$N$6,J2141))),OR(Search!$N$7="",ISNUMBER(SEARCH(Search!$N$7,J2141))),OR(Search!$N$8="",ISNUMBER(SEARCH(Search!$N$8,J2141)))),1,0))</f>
        <v>0</v>
      </c>
      <c r="L2141" s="1" t="n">
        <f aca="false">L2140+K2141</f>
        <v>0</v>
      </c>
    </row>
    <row r="2142" customFormat="false" ht="15" hidden="false" customHeight="true" outlineLevel="0" collapsed="false">
      <c r="A2142" s="1" t="s">
        <v>340</v>
      </c>
      <c r="B2142" s="1" t="s">
        <v>4993</v>
      </c>
      <c r="C2142" s="1" t="n">
        <v>34</v>
      </c>
      <c r="E2142" s="1" t="s">
        <v>5029</v>
      </c>
      <c r="F2142" s="1" t="s">
        <v>2717</v>
      </c>
      <c r="G2142" s="1" t="s">
        <v>982</v>
      </c>
      <c r="H2142" s="1" t="s">
        <v>2685</v>
      </c>
      <c r="I2142" s="1" t="s">
        <v>5595</v>
      </c>
      <c r="J2142" s="1" t="s">
        <v>5596</v>
      </c>
      <c r="K2142" s="1" t="n">
        <f aca="false">IF(Search!$D$5="",0,IF(AND(OR(Search!$N$5="",ISNUMBER(SEARCH(Search!$N$5,J2142))),OR(Search!$N$6="",ISNUMBER(SEARCH(Search!$N$6,J2142))),OR(Search!$N$7="",ISNUMBER(SEARCH(Search!$N$7,J2142))),OR(Search!$N$8="",ISNUMBER(SEARCH(Search!$N$8,J2142)))),1,0))</f>
        <v>0</v>
      </c>
      <c r="L2142" s="1" t="n">
        <f aca="false">L2141+K2142</f>
        <v>0</v>
      </c>
    </row>
    <row r="2143" customFormat="false" ht="15" hidden="false" customHeight="true" outlineLevel="0" collapsed="false">
      <c r="A2143" s="1" t="s">
        <v>340</v>
      </c>
      <c r="B2143" s="1" t="s">
        <v>4993</v>
      </c>
      <c r="C2143" s="1" t="n">
        <v>35</v>
      </c>
      <c r="E2143" s="1" t="s">
        <v>5031</v>
      </c>
      <c r="F2143" s="1" t="s">
        <v>3831</v>
      </c>
      <c r="G2143" s="1" t="s">
        <v>5051</v>
      </c>
      <c r="H2143" s="1" t="s">
        <v>5597</v>
      </c>
      <c r="I2143" s="1" t="s">
        <v>4255</v>
      </c>
      <c r="J2143" s="1" t="s">
        <v>5598</v>
      </c>
      <c r="K2143" s="1" t="n">
        <f aca="false">IF(Search!$D$5="",0,IF(AND(OR(Search!$N$5="",ISNUMBER(SEARCH(Search!$N$5,J2143))),OR(Search!$N$6="",ISNUMBER(SEARCH(Search!$N$6,J2143))),OR(Search!$N$7="",ISNUMBER(SEARCH(Search!$N$7,J2143))),OR(Search!$N$8="",ISNUMBER(SEARCH(Search!$N$8,J2143)))),1,0))</f>
        <v>0</v>
      </c>
      <c r="L2143" s="1" t="n">
        <f aca="false">L2142+K2143</f>
        <v>0</v>
      </c>
    </row>
    <row r="2144" customFormat="false" ht="15" hidden="false" customHeight="true" outlineLevel="0" collapsed="false">
      <c r="A2144" s="1" t="s">
        <v>340</v>
      </c>
      <c r="B2144" s="1" t="s">
        <v>4993</v>
      </c>
      <c r="C2144" s="1" t="n">
        <v>36</v>
      </c>
      <c r="E2144" s="1" t="s">
        <v>5031</v>
      </c>
      <c r="F2144" s="1" t="s">
        <v>749</v>
      </c>
      <c r="G2144" s="1" t="s">
        <v>5051</v>
      </c>
      <c r="H2144" s="1" t="s">
        <v>5597</v>
      </c>
      <c r="I2144" s="1" t="s">
        <v>3241</v>
      </c>
      <c r="J2144" s="1" t="s">
        <v>5599</v>
      </c>
      <c r="K2144" s="1" t="n">
        <f aca="false">IF(Search!$D$5="",0,IF(AND(OR(Search!$N$5="",ISNUMBER(SEARCH(Search!$N$5,J2144))),OR(Search!$N$6="",ISNUMBER(SEARCH(Search!$N$6,J2144))),OR(Search!$N$7="",ISNUMBER(SEARCH(Search!$N$7,J2144))),OR(Search!$N$8="",ISNUMBER(SEARCH(Search!$N$8,J2144)))),1,0))</f>
        <v>0</v>
      </c>
      <c r="L2144" s="1" t="n">
        <f aca="false">L2143+K2144</f>
        <v>0</v>
      </c>
    </row>
    <row r="2145" customFormat="false" ht="15" hidden="false" customHeight="true" outlineLevel="0" collapsed="false">
      <c r="A2145" s="1" t="s">
        <v>340</v>
      </c>
      <c r="B2145" s="1" t="s">
        <v>4993</v>
      </c>
      <c r="C2145" s="1" t="n">
        <v>38</v>
      </c>
      <c r="E2145" s="1" t="s">
        <v>5458</v>
      </c>
      <c r="J2145" s="1" t="s">
        <v>5458</v>
      </c>
      <c r="K2145" s="1" t="n">
        <f aca="false">IF(Search!$D$5="",0,IF(AND(OR(Search!$N$5="",ISNUMBER(SEARCH(Search!$N$5,J2145))),OR(Search!$N$6="",ISNUMBER(SEARCH(Search!$N$6,J2145))),OR(Search!$N$7="",ISNUMBER(SEARCH(Search!$N$7,J2145))),OR(Search!$N$8="",ISNUMBER(SEARCH(Search!$N$8,J2145)))),1,0))</f>
        <v>0</v>
      </c>
      <c r="L2145" s="1" t="n">
        <f aca="false">L2144+K2145</f>
        <v>0</v>
      </c>
    </row>
    <row r="2146" customFormat="false" ht="68.25" hidden="false" customHeight="true" outlineLevel="0" collapsed="false">
      <c r="A2146" s="1" t="s">
        <v>340</v>
      </c>
      <c r="B2146" s="1" t="s">
        <v>4993</v>
      </c>
      <c r="C2146" s="1" t="n">
        <v>39</v>
      </c>
      <c r="E2146" s="1" t="s">
        <v>5017</v>
      </c>
      <c r="F2146" s="46" t="s">
        <v>5036</v>
      </c>
      <c r="G2146" s="46" t="s">
        <v>5037</v>
      </c>
      <c r="H2146" s="46" t="s">
        <v>5038</v>
      </c>
      <c r="I2146" s="46" t="s">
        <v>5039</v>
      </c>
      <c r="J2146" s="46" t="s">
        <v>5040</v>
      </c>
      <c r="K2146" s="1" t="n">
        <f aca="false">IF(Search!$D$5="",0,IF(AND(OR(Search!$N$5="",ISNUMBER(SEARCH(Search!$N$5,J2146))),OR(Search!$N$6="",ISNUMBER(SEARCH(Search!$N$6,J2146))),OR(Search!$N$7="",ISNUMBER(SEARCH(Search!$N$7,J2146))),OR(Search!$N$8="",ISNUMBER(SEARCH(Search!$N$8,J2146)))),1,0))</f>
        <v>0</v>
      </c>
      <c r="L2146" s="1" t="n">
        <f aca="false">L2145+K2146</f>
        <v>0</v>
      </c>
    </row>
    <row r="2147" customFormat="false" ht="15" hidden="false" customHeight="true" outlineLevel="0" collapsed="false">
      <c r="A2147" s="1" t="s">
        <v>340</v>
      </c>
      <c r="B2147" s="1" t="s">
        <v>4993</v>
      </c>
      <c r="C2147" s="1" t="n">
        <v>40</v>
      </c>
      <c r="E2147" s="1" t="s">
        <v>5023</v>
      </c>
      <c r="F2147" s="1" t="s">
        <v>492</v>
      </c>
      <c r="G2147" s="1" t="s">
        <v>1967</v>
      </c>
      <c r="H2147" s="1" t="s">
        <v>2735</v>
      </c>
      <c r="I2147" s="1" t="s">
        <v>5600</v>
      </c>
      <c r="J2147" s="1" t="s">
        <v>5601</v>
      </c>
      <c r="K2147" s="1" t="n">
        <f aca="false">IF(Search!$D$5="",0,IF(AND(OR(Search!$N$5="",ISNUMBER(SEARCH(Search!$N$5,J2147))),OR(Search!$N$6="",ISNUMBER(SEARCH(Search!$N$6,J2147))),OR(Search!$N$7="",ISNUMBER(SEARCH(Search!$N$7,J2147))),OR(Search!$N$8="",ISNUMBER(SEARCH(Search!$N$8,J2147)))),1,0))</f>
        <v>0</v>
      </c>
      <c r="L2147" s="1" t="n">
        <f aca="false">L2146+K2147</f>
        <v>0</v>
      </c>
    </row>
    <row r="2148" customFormat="false" ht="15" hidden="false" customHeight="true" outlineLevel="0" collapsed="false">
      <c r="A2148" s="1" t="s">
        <v>340</v>
      </c>
      <c r="B2148" s="1" t="s">
        <v>4993</v>
      </c>
      <c r="C2148" s="1" t="n">
        <v>41</v>
      </c>
      <c r="E2148" s="1" t="s">
        <v>5025</v>
      </c>
      <c r="F2148" s="1" t="s">
        <v>2699</v>
      </c>
      <c r="G2148" s="1" t="s">
        <v>3799</v>
      </c>
      <c r="H2148" s="1" t="s">
        <v>627</v>
      </c>
      <c r="I2148" s="1" t="s">
        <v>2530</v>
      </c>
      <c r="J2148" s="1" t="s">
        <v>5602</v>
      </c>
      <c r="K2148" s="1" t="n">
        <f aca="false">IF(Search!$D$5="",0,IF(AND(OR(Search!$N$5="",ISNUMBER(SEARCH(Search!$N$5,J2148))),OR(Search!$N$6="",ISNUMBER(SEARCH(Search!$N$6,J2148))),OR(Search!$N$7="",ISNUMBER(SEARCH(Search!$N$7,J2148))),OR(Search!$N$8="",ISNUMBER(SEARCH(Search!$N$8,J2148)))),1,0))</f>
        <v>0</v>
      </c>
      <c r="L2148" s="1" t="n">
        <f aca="false">L2147+K2148</f>
        <v>0</v>
      </c>
    </row>
    <row r="2149" customFormat="false" ht="15" hidden="false" customHeight="true" outlineLevel="0" collapsed="false">
      <c r="A2149" s="1" t="s">
        <v>340</v>
      </c>
      <c r="B2149" s="1" t="s">
        <v>4993</v>
      </c>
      <c r="C2149" s="1" t="n">
        <v>42</v>
      </c>
      <c r="E2149" s="1" t="s">
        <v>5025</v>
      </c>
      <c r="F2149" s="1" t="s">
        <v>2820</v>
      </c>
      <c r="G2149" s="1" t="s">
        <v>3799</v>
      </c>
      <c r="H2149" s="1" t="s">
        <v>627</v>
      </c>
      <c r="I2149" s="1" t="s">
        <v>5603</v>
      </c>
      <c r="J2149" s="1" t="s">
        <v>5604</v>
      </c>
      <c r="K2149" s="1" t="n">
        <f aca="false">IF(Search!$D$5="",0,IF(AND(OR(Search!$N$5="",ISNUMBER(SEARCH(Search!$N$5,J2149))),OR(Search!$N$6="",ISNUMBER(SEARCH(Search!$N$6,J2149))),OR(Search!$N$7="",ISNUMBER(SEARCH(Search!$N$7,J2149))),OR(Search!$N$8="",ISNUMBER(SEARCH(Search!$N$8,J2149)))),1,0))</f>
        <v>0</v>
      </c>
      <c r="L2149" s="1" t="n">
        <f aca="false">L2148+K2149</f>
        <v>0</v>
      </c>
    </row>
    <row r="2150" customFormat="false" ht="15" hidden="false" customHeight="true" outlineLevel="0" collapsed="false">
      <c r="A2150" s="1" t="s">
        <v>340</v>
      </c>
      <c r="B2150" s="1" t="s">
        <v>4993</v>
      </c>
      <c r="C2150" s="1" t="n">
        <v>43</v>
      </c>
      <c r="E2150" s="1" t="s">
        <v>5027</v>
      </c>
      <c r="F2150" s="1" t="s">
        <v>2704</v>
      </c>
      <c r="G2150" s="1" t="s">
        <v>579</v>
      </c>
      <c r="H2150" s="1" t="s">
        <v>1660</v>
      </c>
      <c r="I2150" s="1" t="s">
        <v>5605</v>
      </c>
      <c r="J2150" s="1" t="s">
        <v>5606</v>
      </c>
      <c r="K2150" s="1" t="n">
        <f aca="false">IF(Search!$D$5="",0,IF(AND(OR(Search!$N$5="",ISNUMBER(SEARCH(Search!$N$5,J2150))),OR(Search!$N$6="",ISNUMBER(SEARCH(Search!$N$6,J2150))),OR(Search!$N$7="",ISNUMBER(SEARCH(Search!$N$7,J2150))),OR(Search!$N$8="",ISNUMBER(SEARCH(Search!$N$8,J2150)))),1,0))</f>
        <v>0</v>
      </c>
      <c r="L2150" s="1" t="n">
        <f aca="false">L2149+K2150</f>
        <v>0</v>
      </c>
    </row>
    <row r="2151" customFormat="false" ht="15" hidden="false" customHeight="true" outlineLevel="0" collapsed="false">
      <c r="A2151" s="1" t="s">
        <v>340</v>
      </c>
      <c r="B2151" s="1" t="s">
        <v>4993</v>
      </c>
      <c r="C2151" s="1" t="n">
        <v>44</v>
      </c>
      <c r="E2151" s="1" t="s">
        <v>5027</v>
      </c>
      <c r="F2151" s="1" t="s">
        <v>780</v>
      </c>
      <c r="G2151" s="1" t="s">
        <v>579</v>
      </c>
      <c r="H2151" s="1" t="s">
        <v>1660</v>
      </c>
      <c r="I2151" s="1" t="s">
        <v>5607</v>
      </c>
      <c r="J2151" s="1" t="s">
        <v>5608</v>
      </c>
      <c r="K2151" s="1" t="n">
        <f aca="false">IF(Search!$D$5="",0,IF(AND(OR(Search!$N$5="",ISNUMBER(SEARCH(Search!$N$5,J2151))),OR(Search!$N$6="",ISNUMBER(SEARCH(Search!$N$6,J2151))),OR(Search!$N$7="",ISNUMBER(SEARCH(Search!$N$7,J2151))),OR(Search!$N$8="",ISNUMBER(SEARCH(Search!$N$8,J2151)))),1,0))</f>
        <v>0</v>
      </c>
      <c r="L2151" s="1" t="n">
        <f aca="false">L2150+K2151</f>
        <v>0</v>
      </c>
    </row>
    <row r="2152" customFormat="false" ht="15" hidden="false" customHeight="true" outlineLevel="0" collapsed="false">
      <c r="A2152" s="1" t="s">
        <v>340</v>
      </c>
      <c r="B2152" s="1" t="s">
        <v>4993</v>
      </c>
      <c r="C2152" s="1" t="n">
        <v>45</v>
      </c>
      <c r="E2152" s="1" t="s">
        <v>5029</v>
      </c>
      <c r="F2152" s="1" t="s">
        <v>2710</v>
      </c>
      <c r="G2152" s="1" t="s">
        <v>982</v>
      </c>
      <c r="H2152" s="1" t="s">
        <v>2685</v>
      </c>
      <c r="I2152" s="1" t="s">
        <v>2311</v>
      </c>
      <c r="J2152" s="1" t="s">
        <v>5609</v>
      </c>
      <c r="K2152" s="1" t="n">
        <f aca="false">IF(Search!$D$5="",0,IF(AND(OR(Search!$N$5="",ISNUMBER(SEARCH(Search!$N$5,J2152))),OR(Search!$N$6="",ISNUMBER(SEARCH(Search!$N$6,J2152))),OR(Search!$N$7="",ISNUMBER(SEARCH(Search!$N$7,J2152))),OR(Search!$N$8="",ISNUMBER(SEARCH(Search!$N$8,J2152)))),1,0))</f>
        <v>0</v>
      </c>
      <c r="L2152" s="1" t="n">
        <f aca="false">L2151+K2152</f>
        <v>0</v>
      </c>
    </row>
    <row r="2153" customFormat="false" ht="15" hidden="false" customHeight="true" outlineLevel="0" collapsed="false">
      <c r="A2153" s="1" t="s">
        <v>340</v>
      </c>
      <c r="B2153" s="1" t="s">
        <v>4993</v>
      </c>
      <c r="C2153" s="1" t="n">
        <v>46</v>
      </c>
      <c r="E2153" s="1" t="s">
        <v>5029</v>
      </c>
      <c r="F2153" s="1" t="s">
        <v>2717</v>
      </c>
      <c r="G2153" s="1" t="s">
        <v>982</v>
      </c>
      <c r="H2153" s="1" t="s">
        <v>2685</v>
      </c>
      <c r="I2153" s="1" t="s">
        <v>5610</v>
      </c>
      <c r="J2153" s="1" t="s">
        <v>5611</v>
      </c>
      <c r="K2153" s="1" t="n">
        <f aca="false">IF(Search!$D$5="",0,IF(AND(OR(Search!$N$5="",ISNUMBER(SEARCH(Search!$N$5,J2153))),OR(Search!$N$6="",ISNUMBER(SEARCH(Search!$N$6,J2153))),OR(Search!$N$7="",ISNUMBER(SEARCH(Search!$N$7,J2153))),OR(Search!$N$8="",ISNUMBER(SEARCH(Search!$N$8,J2153)))),1,0))</f>
        <v>0</v>
      </c>
      <c r="L2153" s="1" t="n">
        <f aca="false">L2152+K2153</f>
        <v>0</v>
      </c>
    </row>
    <row r="2154" customFormat="false" ht="15" hidden="false" customHeight="true" outlineLevel="0" collapsed="false">
      <c r="A2154" s="1" t="s">
        <v>340</v>
      </c>
      <c r="B2154" s="1" t="s">
        <v>4993</v>
      </c>
      <c r="C2154" s="1" t="n">
        <v>47</v>
      </c>
      <c r="E2154" s="1" t="s">
        <v>5031</v>
      </c>
      <c r="F2154" s="1" t="s">
        <v>3831</v>
      </c>
      <c r="G2154" s="1" t="s">
        <v>5051</v>
      </c>
      <c r="H2154" s="1" t="s">
        <v>5597</v>
      </c>
      <c r="I2154" s="1" t="s">
        <v>5612</v>
      </c>
      <c r="J2154" s="1" t="s">
        <v>5613</v>
      </c>
      <c r="K2154" s="1" t="n">
        <f aca="false">IF(Search!$D$5="",0,IF(AND(OR(Search!$N$5="",ISNUMBER(SEARCH(Search!$N$5,J2154))),OR(Search!$N$6="",ISNUMBER(SEARCH(Search!$N$6,J2154))),OR(Search!$N$7="",ISNUMBER(SEARCH(Search!$N$7,J2154))),OR(Search!$N$8="",ISNUMBER(SEARCH(Search!$N$8,J2154)))),1,0))</f>
        <v>0</v>
      </c>
      <c r="L2154" s="1" t="n">
        <f aca="false">L2153+K2154</f>
        <v>0</v>
      </c>
    </row>
    <row r="2155" customFormat="false" ht="15" hidden="false" customHeight="true" outlineLevel="0" collapsed="false">
      <c r="A2155" s="1" t="s">
        <v>340</v>
      </c>
      <c r="B2155" s="1" t="s">
        <v>4993</v>
      </c>
      <c r="C2155" s="1" t="n">
        <v>48</v>
      </c>
      <c r="E2155" s="1" t="s">
        <v>5031</v>
      </c>
      <c r="F2155" s="1" t="s">
        <v>749</v>
      </c>
      <c r="G2155" s="1" t="s">
        <v>5051</v>
      </c>
      <c r="H2155" s="1" t="s">
        <v>5597</v>
      </c>
      <c r="I2155" s="1" t="s">
        <v>3321</v>
      </c>
      <c r="J2155" s="1" t="s">
        <v>5614</v>
      </c>
      <c r="K2155" s="1" t="n">
        <f aca="false">IF(Search!$D$5="",0,IF(AND(OR(Search!$N$5="",ISNUMBER(SEARCH(Search!$N$5,J2155))),OR(Search!$N$6="",ISNUMBER(SEARCH(Search!$N$6,J2155))),OR(Search!$N$7="",ISNUMBER(SEARCH(Search!$N$7,J2155))),OR(Search!$N$8="",ISNUMBER(SEARCH(Search!$N$8,J2155)))),1,0))</f>
        <v>0</v>
      </c>
      <c r="L2155" s="1" t="n">
        <f aca="false">L2154+K2155</f>
        <v>0</v>
      </c>
    </row>
    <row r="2156" customFormat="false" ht="15" hidden="false" customHeight="true" outlineLevel="0" collapsed="false">
      <c r="A2156" s="1" t="s">
        <v>340</v>
      </c>
      <c r="B2156" s="1" t="s">
        <v>4993</v>
      </c>
      <c r="C2156" s="1" t="n">
        <v>50</v>
      </c>
      <c r="E2156" s="1" t="s">
        <v>5615</v>
      </c>
      <c r="J2156" s="1" t="s">
        <v>5615</v>
      </c>
      <c r="K2156" s="1" t="n">
        <f aca="false">IF(Search!$D$5="",0,IF(AND(OR(Search!$N$5="",ISNUMBER(SEARCH(Search!$N$5,J2156))),OR(Search!$N$6="",ISNUMBER(SEARCH(Search!$N$6,J2156))),OR(Search!$N$7="",ISNUMBER(SEARCH(Search!$N$7,J2156))),OR(Search!$N$8="",ISNUMBER(SEARCH(Search!$N$8,J2156)))),1,0))</f>
        <v>0</v>
      </c>
      <c r="L2156" s="1" t="n">
        <f aca="false">L2155+K2156</f>
        <v>0</v>
      </c>
    </row>
    <row r="2157" customFormat="false" ht="15" hidden="false" customHeight="true" outlineLevel="0" collapsed="false">
      <c r="A2157" s="1" t="s">
        <v>340</v>
      </c>
      <c r="B2157" s="1" t="s">
        <v>4993</v>
      </c>
      <c r="C2157" s="1" t="n">
        <v>51</v>
      </c>
      <c r="E2157" s="1" t="s">
        <v>5616</v>
      </c>
      <c r="J2157" s="1" t="s">
        <v>5616</v>
      </c>
      <c r="K2157" s="1" t="n">
        <f aca="false">IF(Search!$D$5="",0,IF(AND(OR(Search!$N$5="",ISNUMBER(SEARCH(Search!$N$5,J2157))),OR(Search!$N$6="",ISNUMBER(SEARCH(Search!$N$6,J2157))),OR(Search!$N$7="",ISNUMBER(SEARCH(Search!$N$7,J2157))),OR(Search!$N$8="",ISNUMBER(SEARCH(Search!$N$8,J2157)))),1,0))</f>
        <v>0</v>
      </c>
      <c r="L2157" s="1" t="n">
        <f aca="false">L2156+K2157</f>
        <v>0</v>
      </c>
    </row>
    <row r="2158" customFormat="false" ht="15" hidden="false" customHeight="true" outlineLevel="0" collapsed="false">
      <c r="A2158" s="1" t="s">
        <v>340</v>
      </c>
      <c r="B2158" s="1" t="s">
        <v>4993</v>
      </c>
      <c r="C2158" s="1" t="n">
        <v>52</v>
      </c>
      <c r="E2158" s="1" t="s">
        <v>5617</v>
      </c>
      <c r="J2158" s="1" t="s">
        <v>5617</v>
      </c>
      <c r="K2158" s="1" t="n">
        <f aca="false">IF(Search!$D$5="",0,IF(AND(OR(Search!$N$5="",ISNUMBER(SEARCH(Search!$N$5,J2158))),OR(Search!$N$6="",ISNUMBER(SEARCH(Search!$N$6,J2158))),OR(Search!$N$7="",ISNUMBER(SEARCH(Search!$N$7,J2158))),OR(Search!$N$8="",ISNUMBER(SEARCH(Search!$N$8,J2158)))),1,0))</f>
        <v>0</v>
      </c>
      <c r="L2158" s="1" t="n">
        <f aca="false">L2157+K2158</f>
        <v>0</v>
      </c>
    </row>
    <row r="2159" customFormat="false" ht="15" hidden="false" customHeight="true" outlineLevel="0" collapsed="false">
      <c r="A2159" s="1" t="s">
        <v>340</v>
      </c>
      <c r="B2159" s="1" t="s">
        <v>4993</v>
      </c>
      <c r="C2159" s="1" t="n">
        <v>53</v>
      </c>
      <c r="E2159" s="1" t="s">
        <v>5618</v>
      </c>
      <c r="J2159" s="1" t="s">
        <v>5618</v>
      </c>
      <c r="K2159" s="1" t="n">
        <f aca="false">IF(Search!$D$5="",0,IF(AND(OR(Search!$N$5="",ISNUMBER(SEARCH(Search!$N$5,J2159))),OR(Search!$N$6="",ISNUMBER(SEARCH(Search!$N$6,J2159))),OR(Search!$N$7="",ISNUMBER(SEARCH(Search!$N$7,J2159))),OR(Search!$N$8="",ISNUMBER(SEARCH(Search!$N$8,J2159)))),1,0))</f>
        <v>0</v>
      </c>
      <c r="L2159" s="1" t="n">
        <f aca="false">L2158+K2159</f>
        <v>0</v>
      </c>
    </row>
    <row r="2160" customFormat="false" ht="15" hidden="false" customHeight="true" outlineLevel="0" collapsed="false">
      <c r="A2160" s="1" t="s">
        <v>340</v>
      </c>
      <c r="B2160" s="1" t="s">
        <v>4993</v>
      </c>
      <c r="C2160" s="1" t="n">
        <v>54</v>
      </c>
      <c r="E2160" s="1" t="s">
        <v>5619</v>
      </c>
      <c r="J2160" s="1" t="s">
        <v>5619</v>
      </c>
      <c r="K2160" s="1" t="n">
        <f aca="false">IF(Search!$D$5="",0,IF(AND(OR(Search!$N$5="",ISNUMBER(SEARCH(Search!$N$5,J2160))),OR(Search!$N$6="",ISNUMBER(SEARCH(Search!$N$6,J2160))),OR(Search!$N$7="",ISNUMBER(SEARCH(Search!$N$7,J2160))),OR(Search!$N$8="",ISNUMBER(SEARCH(Search!$N$8,J2160)))),1,0))</f>
        <v>0</v>
      </c>
      <c r="L2160" s="1" t="n">
        <f aca="false">L2159+K2160</f>
        <v>0</v>
      </c>
    </row>
    <row r="2161" customFormat="false" ht="15" hidden="false" customHeight="true" outlineLevel="0" collapsed="false">
      <c r="A2161" s="1" t="s">
        <v>340</v>
      </c>
      <c r="B2161" s="1" t="s">
        <v>4993</v>
      </c>
      <c r="C2161" s="1" t="n">
        <v>55</v>
      </c>
      <c r="E2161" s="1" t="s">
        <v>5620</v>
      </c>
      <c r="J2161" s="1" t="s">
        <v>5620</v>
      </c>
      <c r="K2161" s="1" t="n">
        <f aca="false">IF(Search!$D$5="",0,IF(AND(OR(Search!$N$5="",ISNUMBER(SEARCH(Search!$N$5,J2161))),OR(Search!$N$6="",ISNUMBER(SEARCH(Search!$N$6,J2161))),OR(Search!$N$7="",ISNUMBER(SEARCH(Search!$N$7,J2161))),OR(Search!$N$8="",ISNUMBER(SEARCH(Search!$N$8,J2161)))),1,0))</f>
        <v>0</v>
      </c>
      <c r="L2161" s="1" t="n">
        <f aca="false">L2160+K2161</f>
        <v>0</v>
      </c>
    </row>
    <row r="2162" customFormat="false" ht="15" hidden="false" customHeight="true" outlineLevel="0" collapsed="false">
      <c r="A2162" s="1" t="s">
        <v>340</v>
      </c>
      <c r="B2162" s="1" t="s">
        <v>4993</v>
      </c>
      <c r="C2162" s="1" t="n">
        <v>56</v>
      </c>
      <c r="E2162" s="1" t="s">
        <v>5621</v>
      </c>
      <c r="J2162" s="1" t="s">
        <v>5621</v>
      </c>
      <c r="K2162" s="1" t="n">
        <f aca="false">IF(Search!$D$5="",0,IF(AND(OR(Search!$N$5="",ISNUMBER(SEARCH(Search!$N$5,J2162))),OR(Search!$N$6="",ISNUMBER(SEARCH(Search!$N$6,J2162))),OR(Search!$N$7="",ISNUMBER(SEARCH(Search!$N$7,J2162))),OR(Search!$N$8="",ISNUMBER(SEARCH(Search!$N$8,J2162)))),1,0))</f>
        <v>0</v>
      </c>
      <c r="L2162" s="1" t="n">
        <f aca="false">L2161+K2162</f>
        <v>0</v>
      </c>
    </row>
    <row r="2163" customFormat="false" ht="15" hidden="false" customHeight="true" outlineLevel="0" collapsed="false">
      <c r="A2163" s="1" t="s">
        <v>340</v>
      </c>
      <c r="B2163" s="1" t="s">
        <v>4993</v>
      </c>
      <c r="C2163" s="1" t="n">
        <v>57</v>
      </c>
      <c r="E2163" s="1" t="s">
        <v>5622</v>
      </c>
      <c r="J2163" s="1" t="s">
        <v>5622</v>
      </c>
      <c r="K2163" s="1" t="n">
        <f aca="false">IF(Search!$D$5="",0,IF(AND(OR(Search!$N$5="",ISNUMBER(SEARCH(Search!$N$5,J2163))),OR(Search!$N$6="",ISNUMBER(SEARCH(Search!$N$6,J2163))),OR(Search!$N$7="",ISNUMBER(SEARCH(Search!$N$7,J2163))),OR(Search!$N$8="",ISNUMBER(SEARCH(Search!$N$8,J2163)))),1,0))</f>
        <v>0</v>
      </c>
      <c r="L2163" s="1" t="n">
        <f aca="false">L2162+K2163</f>
        <v>0</v>
      </c>
    </row>
    <row r="2164" customFormat="false" ht="15" hidden="false" customHeight="true" outlineLevel="0" collapsed="false">
      <c r="A2164" s="1" t="s">
        <v>340</v>
      </c>
      <c r="B2164" s="1" t="s">
        <v>4993</v>
      </c>
      <c r="C2164" s="1" t="n">
        <v>58</v>
      </c>
      <c r="E2164" s="1" t="s">
        <v>5623</v>
      </c>
      <c r="J2164" s="1" t="s">
        <v>5623</v>
      </c>
      <c r="K2164" s="1" t="n">
        <f aca="false">IF(Search!$D$5="",0,IF(AND(OR(Search!$N$5="",ISNUMBER(SEARCH(Search!$N$5,J2164))),OR(Search!$N$6="",ISNUMBER(SEARCH(Search!$N$6,J2164))),OR(Search!$N$7="",ISNUMBER(SEARCH(Search!$N$7,J2164))),OR(Search!$N$8="",ISNUMBER(SEARCH(Search!$N$8,J2164)))),1,0))</f>
        <v>0</v>
      </c>
      <c r="L2164" s="1" t="n">
        <f aca="false">L2163+K2164</f>
        <v>0</v>
      </c>
    </row>
    <row r="2165" customFormat="false" ht="15" hidden="false" customHeight="true" outlineLevel="0" collapsed="false">
      <c r="A2165" s="1" t="s">
        <v>340</v>
      </c>
      <c r="B2165" s="1" t="s">
        <v>4993</v>
      </c>
      <c r="C2165" s="1" t="n">
        <v>60</v>
      </c>
      <c r="E2165" s="1" t="s">
        <v>5624</v>
      </c>
      <c r="J2165" s="1" t="s">
        <v>5624</v>
      </c>
      <c r="K2165" s="1" t="n">
        <f aca="false">IF(Search!$D$5="",0,IF(AND(OR(Search!$N$5="",ISNUMBER(SEARCH(Search!$N$5,J2165))),OR(Search!$N$6="",ISNUMBER(SEARCH(Search!$N$6,J2165))),OR(Search!$N$7="",ISNUMBER(SEARCH(Search!$N$7,J2165))),OR(Search!$N$8="",ISNUMBER(SEARCH(Search!$N$8,J2165)))),1,0))</f>
        <v>0</v>
      </c>
      <c r="L2165" s="1" t="n">
        <f aca="false">L2164+K2165</f>
        <v>0</v>
      </c>
    </row>
    <row r="2166" customFormat="false" ht="68.25" hidden="false" customHeight="true" outlineLevel="0" collapsed="false">
      <c r="A2166" s="1" t="s">
        <v>340</v>
      </c>
      <c r="B2166" s="1" t="s">
        <v>4993</v>
      </c>
      <c r="C2166" s="1" t="n">
        <v>61</v>
      </c>
      <c r="E2166" s="1" t="s">
        <v>5017</v>
      </c>
      <c r="F2166" s="46" t="s">
        <v>5496</v>
      </c>
      <c r="G2166" s="46" t="s">
        <v>5036</v>
      </c>
      <c r="H2166" s="46" t="s">
        <v>5078</v>
      </c>
      <c r="I2166" s="46" t="s">
        <v>5037</v>
      </c>
      <c r="J2166" s="46" t="s">
        <v>5625</v>
      </c>
      <c r="K2166" s="1" t="n">
        <f aca="false">IF(Search!$D$5="",0,IF(AND(OR(Search!$N$5="",ISNUMBER(SEARCH(Search!$N$5,J2166))),OR(Search!$N$6="",ISNUMBER(SEARCH(Search!$N$6,J2166))),OR(Search!$N$7="",ISNUMBER(SEARCH(Search!$N$7,J2166))),OR(Search!$N$8="",ISNUMBER(SEARCH(Search!$N$8,J2166)))),1,0))</f>
        <v>0</v>
      </c>
      <c r="L2166" s="1" t="n">
        <f aca="false">L2165+K2166</f>
        <v>0</v>
      </c>
    </row>
    <row r="2167" customFormat="false" ht="15" hidden="false" customHeight="true" outlineLevel="0" collapsed="false">
      <c r="A2167" s="1" t="s">
        <v>340</v>
      </c>
      <c r="B2167" s="1" t="s">
        <v>4993</v>
      </c>
      <c r="C2167" s="1" t="n">
        <v>62</v>
      </c>
      <c r="E2167" s="1" t="s">
        <v>5025</v>
      </c>
      <c r="F2167" s="1" t="s">
        <v>627</v>
      </c>
      <c r="G2167" s="1" t="s">
        <v>492</v>
      </c>
      <c r="H2167" s="1" t="s">
        <v>2717</v>
      </c>
      <c r="I2167" s="1" t="s">
        <v>3799</v>
      </c>
      <c r="J2167" s="1" t="s">
        <v>5626</v>
      </c>
      <c r="K2167" s="1" t="n">
        <f aca="false">IF(Search!$D$5="",0,IF(AND(OR(Search!$N$5="",ISNUMBER(SEARCH(Search!$N$5,J2167))),OR(Search!$N$6="",ISNUMBER(SEARCH(Search!$N$6,J2167))),OR(Search!$N$7="",ISNUMBER(SEARCH(Search!$N$7,J2167))),OR(Search!$N$8="",ISNUMBER(SEARCH(Search!$N$8,J2167)))),1,0))</f>
        <v>0</v>
      </c>
      <c r="L2167" s="1" t="n">
        <f aca="false">L2166+K2167</f>
        <v>0</v>
      </c>
    </row>
    <row r="2168" customFormat="false" ht="15" hidden="false" customHeight="true" outlineLevel="0" collapsed="false">
      <c r="A2168" s="1" t="s">
        <v>340</v>
      </c>
      <c r="B2168" s="1" t="s">
        <v>4993</v>
      </c>
      <c r="C2168" s="1" t="n">
        <v>63</v>
      </c>
      <c r="E2168" s="1" t="s">
        <v>5027</v>
      </c>
      <c r="F2168" s="1" t="s">
        <v>2746</v>
      </c>
      <c r="G2168" s="1" t="s">
        <v>492</v>
      </c>
      <c r="H2168" s="1" t="s">
        <v>2717</v>
      </c>
      <c r="I2168" s="1" t="s">
        <v>579</v>
      </c>
      <c r="J2168" s="1" t="s">
        <v>5627</v>
      </c>
      <c r="K2168" s="1" t="n">
        <f aca="false">IF(Search!$D$5="",0,IF(AND(OR(Search!$N$5="",ISNUMBER(SEARCH(Search!$N$5,J2168))),OR(Search!$N$6="",ISNUMBER(SEARCH(Search!$N$6,J2168))),OR(Search!$N$7="",ISNUMBER(SEARCH(Search!$N$7,J2168))),OR(Search!$N$8="",ISNUMBER(SEARCH(Search!$N$8,J2168)))),1,0))</f>
        <v>0</v>
      </c>
      <c r="L2168" s="1" t="n">
        <f aca="false">L2167+K2168</f>
        <v>0</v>
      </c>
    </row>
    <row r="2169" customFormat="false" ht="15" hidden="false" customHeight="true" outlineLevel="0" collapsed="false">
      <c r="A2169" s="1" t="s">
        <v>340</v>
      </c>
      <c r="B2169" s="1" t="s">
        <v>4993</v>
      </c>
      <c r="C2169" s="1" t="n">
        <v>64</v>
      </c>
      <c r="E2169" s="1" t="s">
        <v>5029</v>
      </c>
      <c r="F2169" s="1" t="s">
        <v>585</v>
      </c>
      <c r="G2169" s="1" t="s">
        <v>492</v>
      </c>
      <c r="H2169" s="1" t="s">
        <v>2717</v>
      </c>
      <c r="I2169" s="1" t="s">
        <v>982</v>
      </c>
      <c r="J2169" s="1" t="s">
        <v>5628</v>
      </c>
      <c r="K2169" s="1" t="n">
        <f aca="false">IF(Search!$D$5="",0,IF(AND(OR(Search!$N$5="",ISNUMBER(SEARCH(Search!$N$5,J2169))),OR(Search!$N$6="",ISNUMBER(SEARCH(Search!$N$6,J2169))),OR(Search!$N$7="",ISNUMBER(SEARCH(Search!$N$7,J2169))),OR(Search!$N$8="",ISNUMBER(SEARCH(Search!$N$8,J2169)))),1,0))</f>
        <v>0</v>
      </c>
      <c r="L2169" s="1" t="n">
        <f aca="false">L2168+K2169</f>
        <v>0</v>
      </c>
    </row>
    <row r="2170" customFormat="false" ht="15" hidden="false" customHeight="true" outlineLevel="0" collapsed="false">
      <c r="A2170" s="1" t="s">
        <v>340</v>
      </c>
      <c r="B2170" s="1" t="s">
        <v>4993</v>
      </c>
      <c r="C2170" s="1" t="n">
        <v>66</v>
      </c>
      <c r="E2170" s="1" t="s">
        <v>5629</v>
      </c>
      <c r="J2170" s="1" t="s">
        <v>5629</v>
      </c>
      <c r="K2170" s="1" t="n">
        <f aca="false">IF(Search!$D$5="",0,IF(AND(OR(Search!$N$5="",ISNUMBER(SEARCH(Search!$N$5,J2170))),OR(Search!$N$6="",ISNUMBER(SEARCH(Search!$N$6,J2170))),OR(Search!$N$7="",ISNUMBER(SEARCH(Search!$N$7,J2170))),OR(Search!$N$8="",ISNUMBER(SEARCH(Search!$N$8,J2170)))),1,0))</f>
        <v>0</v>
      </c>
      <c r="L2170" s="1" t="n">
        <f aca="false">L2169+K2170</f>
        <v>0</v>
      </c>
    </row>
    <row r="2171" customFormat="false" ht="15" hidden="false" customHeight="true" outlineLevel="0" collapsed="false">
      <c r="A2171" s="1" t="s">
        <v>343</v>
      </c>
      <c r="B2171" s="1" t="s">
        <v>4993</v>
      </c>
      <c r="C2171" s="1" t="n">
        <v>2</v>
      </c>
      <c r="E2171" s="1" t="s">
        <v>5630</v>
      </c>
      <c r="J2171" s="1" t="s">
        <v>5630</v>
      </c>
      <c r="K2171" s="1" t="n">
        <f aca="false">IF(Search!$D$5="",0,IF(AND(OR(Search!$N$5="",ISNUMBER(SEARCH(Search!$N$5,J2171))),OR(Search!$N$6="",ISNUMBER(SEARCH(Search!$N$6,J2171))),OR(Search!$N$7="",ISNUMBER(SEARCH(Search!$N$7,J2171))),OR(Search!$N$8="",ISNUMBER(SEARCH(Search!$N$8,J2171)))),1,0))</f>
        <v>0</v>
      </c>
      <c r="L2171" s="1" t="n">
        <f aca="false">L2170+K2171</f>
        <v>0</v>
      </c>
    </row>
    <row r="2172" customFormat="false" ht="15" hidden="false" customHeight="true" outlineLevel="0" collapsed="false">
      <c r="A2172" s="1" t="s">
        <v>343</v>
      </c>
      <c r="B2172" s="1" t="s">
        <v>4993</v>
      </c>
      <c r="C2172" s="1" t="n">
        <v>3</v>
      </c>
      <c r="E2172" s="1" t="s">
        <v>5631</v>
      </c>
      <c r="J2172" s="1" t="s">
        <v>5631</v>
      </c>
      <c r="K2172" s="1" t="n">
        <f aca="false">IF(Search!$D$5="",0,IF(AND(OR(Search!$N$5="",ISNUMBER(SEARCH(Search!$N$5,J2172))),OR(Search!$N$6="",ISNUMBER(SEARCH(Search!$N$6,J2172))),OR(Search!$N$7="",ISNUMBER(SEARCH(Search!$N$7,J2172))),OR(Search!$N$8="",ISNUMBER(SEARCH(Search!$N$8,J2172)))),1,0))</f>
        <v>0</v>
      </c>
      <c r="L2172" s="1" t="n">
        <f aca="false">L2171+K2172</f>
        <v>0</v>
      </c>
    </row>
    <row r="2173" customFormat="false" ht="15" hidden="false" customHeight="true" outlineLevel="0" collapsed="false">
      <c r="A2173" s="1" t="s">
        <v>343</v>
      </c>
      <c r="B2173" s="1" t="s">
        <v>4993</v>
      </c>
      <c r="C2173" s="1" t="n">
        <v>5</v>
      </c>
      <c r="E2173" s="1" t="s">
        <v>5632</v>
      </c>
      <c r="J2173" s="1" t="s">
        <v>5632</v>
      </c>
      <c r="K2173" s="1" t="n">
        <f aca="false">IF(Search!$D$5="",0,IF(AND(OR(Search!$N$5="",ISNUMBER(SEARCH(Search!$N$5,J2173))),OR(Search!$N$6="",ISNUMBER(SEARCH(Search!$N$6,J2173))),OR(Search!$N$7="",ISNUMBER(SEARCH(Search!$N$7,J2173))),OR(Search!$N$8="",ISNUMBER(SEARCH(Search!$N$8,J2173)))),1,0))</f>
        <v>0</v>
      </c>
      <c r="L2173" s="1" t="n">
        <f aca="false">L2172+K2173</f>
        <v>0</v>
      </c>
    </row>
    <row r="2174" customFormat="false" ht="68.25" hidden="false" customHeight="true" outlineLevel="0" collapsed="false">
      <c r="A2174" s="1" t="s">
        <v>343</v>
      </c>
      <c r="B2174" s="1" t="s">
        <v>4993</v>
      </c>
      <c r="C2174" s="1" t="n">
        <v>6</v>
      </c>
      <c r="E2174" s="1" t="s">
        <v>5633</v>
      </c>
      <c r="F2174" s="46" t="s">
        <v>5496</v>
      </c>
      <c r="G2174" s="46" t="s">
        <v>5634</v>
      </c>
      <c r="H2174" s="46" t="s">
        <v>5635</v>
      </c>
      <c r="I2174" s="46" t="s">
        <v>5636</v>
      </c>
      <c r="J2174" s="46" t="s">
        <v>5637</v>
      </c>
      <c r="K2174" s="1" t="n">
        <f aca="false">IF(Search!$D$5="",0,IF(AND(OR(Search!$N$5="",ISNUMBER(SEARCH(Search!$N$5,J2174))),OR(Search!$N$6="",ISNUMBER(SEARCH(Search!$N$6,J2174))),OR(Search!$N$7="",ISNUMBER(SEARCH(Search!$N$7,J2174))),OR(Search!$N$8="",ISNUMBER(SEARCH(Search!$N$8,J2174)))),1,0))</f>
        <v>0</v>
      </c>
      <c r="L2174" s="1" t="n">
        <f aca="false">L2173+K2174</f>
        <v>0</v>
      </c>
    </row>
    <row r="2175" customFormat="false" ht="15" hidden="false" customHeight="true" outlineLevel="0" collapsed="false">
      <c r="A2175" s="1" t="s">
        <v>343</v>
      </c>
      <c r="B2175" s="1" t="s">
        <v>4993</v>
      </c>
      <c r="C2175" s="1" t="n">
        <v>7</v>
      </c>
      <c r="E2175" s="1" t="s">
        <v>5638</v>
      </c>
      <c r="F2175" s="1" t="s">
        <v>1834</v>
      </c>
      <c r="G2175" s="1" t="s">
        <v>2168</v>
      </c>
      <c r="H2175" s="1" t="s">
        <v>5639</v>
      </c>
      <c r="I2175" s="1" t="s">
        <v>5640</v>
      </c>
      <c r="J2175" s="1" t="s">
        <v>5641</v>
      </c>
      <c r="K2175" s="1" t="n">
        <f aca="false">IF(Search!$D$5="",0,IF(AND(OR(Search!$N$5="",ISNUMBER(SEARCH(Search!$N$5,J2175))),OR(Search!$N$6="",ISNUMBER(SEARCH(Search!$N$6,J2175))),OR(Search!$N$7="",ISNUMBER(SEARCH(Search!$N$7,J2175))),OR(Search!$N$8="",ISNUMBER(SEARCH(Search!$N$8,J2175)))),1,0))</f>
        <v>0</v>
      </c>
      <c r="L2175" s="1" t="n">
        <f aca="false">L2174+K2175</f>
        <v>0</v>
      </c>
    </row>
    <row r="2176" customFormat="false" ht="15" hidden="false" customHeight="true" outlineLevel="0" collapsed="false">
      <c r="A2176" s="1" t="s">
        <v>343</v>
      </c>
      <c r="B2176" s="1" t="s">
        <v>4993</v>
      </c>
      <c r="C2176" s="1" t="n">
        <v>8</v>
      </c>
      <c r="E2176" s="1" t="s">
        <v>5642</v>
      </c>
      <c r="F2176" s="1" t="s">
        <v>1838</v>
      </c>
      <c r="G2176" s="1" t="s">
        <v>1959</v>
      </c>
      <c r="H2176" s="1" t="s">
        <v>5643</v>
      </c>
      <c r="I2176" s="1" t="s">
        <v>5644</v>
      </c>
      <c r="J2176" s="1" t="s">
        <v>5645</v>
      </c>
      <c r="K2176" s="1" t="n">
        <f aca="false">IF(Search!$D$5="",0,IF(AND(OR(Search!$N$5="",ISNUMBER(SEARCH(Search!$N$5,J2176))),OR(Search!$N$6="",ISNUMBER(SEARCH(Search!$N$6,J2176))),OR(Search!$N$7="",ISNUMBER(SEARCH(Search!$N$7,J2176))),OR(Search!$N$8="",ISNUMBER(SEARCH(Search!$N$8,J2176)))),1,0))</f>
        <v>0</v>
      </c>
      <c r="L2176" s="1" t="n">
        <f aca="false">L2175+K2176</f>
        <v>0</v>
      </c>
    </row>
    <row r="2177" customFormat="false" ht="15" hidden="false" customHeight="true" outlineLevel="0" collapsed="false">
      <c r="A2177" s="1" t="s">
        <v>343</v>
      </c>
      <c r="B2177" s="1" t="s">
        <v>4993</v>
      </c>
      <c r="C2177" s="1" t="n">
        <v>9</v>
      </c>
      <c r="E2177" s="1" t="s">
        <v>5646</v>
      </c>
      <c r="F2177" s="1" t="s">
        <v>1838</v>
      </c>
      <c r="G2177" s="1" t="s">
        <v>2699</v>
      </c>
      <c r="H2177" s="1" t="s">
        <v>5643</v>
      </c>
      <c r="I2177" s="1" t="s">
        <v>5647</v>
      </c>
      <c r="J2177" s="1" t="s">
        <v>5648</v>
      </c>
      <c r="K2177" s="1" t="n">
        <f aca="false">IF(Search!$D$5="",0,IF(AND(OR(Search!$N$5="",ISNUMBER(SEARCH(Search!$N$5,J2177))),OR(Search!$N$6="",ISNUMBER(SEARCH(Search!$N$6,J2177))),OR(Search!$N$7="",ISNUMBER(SEARCH(Search!$N$7,J2177))),OR(Search!$N$8="",ISNUMBER(SEARCH(Search!$N$8,J2177)))),1,0))</f>
        <v>0</v>
      </c>
      <c r="L2177" s="1" t="n">
        <f aca="false">L2176+K2177</f>
        <v>0</v>
      </c>
    </row>
    <row r="2178" customFormat="false" ht="15" hidden="false" customHeight="true" outlineLevel="0" collapsed="false">
      <c r="A2178" s="1" t="s">
        <v>343</v>
      </c>
      <c r="B2178" s="1" t="s">
        <v>4993</v>
      </c>
      <c r="C2178" s="1" t="n">
        <v>10</v>
      </c>
      <c r="E2178" s="1" t="s">
        <v>5649</v>
      </c>
      <c r="F2178" s="1" t="s">
        <v>1904</v>
      </c>
      <c r="G2178" s="1" t="s">
        <v>492</v>
      </c>
      <c r="H2178" s="1" t="s">
        <v>5650</v>
      </c>
      <c r="I2178" s="1" t="s">
        <v>5651</v>
      </c>
      <c r="J2178" s="1" t="s">
        <v>5652</v>
      </c>
      <c r="K2178" s="1" t="n">
        <f aca="false">IF(Search!$D$5="",0,IF(AND(OR(Search!$N$5="",ISNUMBER(SEARCH(Search!$N$5,J2178))),OR(Search!$N$6="",ISNUMBER(SEARCH(Search!$N$6,J2178))),OR(Search!$N$7="",ISNUMBER(SEARCH(Search!$N$7,J2178))),OR(Search!$N$8="",ISNUMBER(SEARCH(Search!$N$8,J2178)))),1,0))</f>
        <v>0</v>
      </c>
      <c r="L2178" s="1" t="n">
        <f aca="false">L2177+K2178</f>
        <v>0</v>
      </c>
    </row>
    <row r="2179" customFormat="false" ht="15" hidden="false" customHeight="true" outlineLevel="0" collapsed="false">
      <c r="A2179" s="1" t="s">
        <v>343</v>
      </c>
      <c r="B2179" s="1" t="s">
        <v>4993</v>
      </c>
      <c r="C2179" s="1" t="n">
        <v>11</v>
      </c>
      <c r="E2179" s="1" t="s">
        <v>5653</v>
      </c>
      <c r="F2179" s="1" t="s">
        <v>1904</v>
      </c>
      <c r="G2179" s="1" t="s">
        <v>2704</v>
      </c>
      <c r="H2179" s="1" t="s">
        <v>5650</v>
      </c>
      <c r="I2179" s="1" t="s">
        <v>5654</v>
      </c>
      <c r="J2179" s="1" t="s">
        <v>5655</v>
      </c>
      <c r="K2179" s="1" t="n">
        <f aca="false">IF(Search!$D$5="",0,IF(AND(OR(Search!$N$5="",ISNUMBER(SEARCH(Search!$N$5,J2179))),OR(Search!$N$6="",ISNUMBER(SEARCH(Search!$N$6,J2179))),OR(Search!$N$7="",ISNUMBER(SEARCH(Search!$N$7,J2179))),OR(Search!$N$8="",ISNUMBER(SEARCH(Search!$N$8,J2179)))),1,0))</f>
        <v>0</v>
      </c>
      <c r="L2179" s="1" t="n">
        <f aca="false">L2178+K2179</f>
        <v>0</v>
      </c>
    </row>
    <row r="2180" customFormat="false" ht="15" hidden="false" customHeight="true" outlineLevel="0" collapsed="false">
      <c r="A2180" s="1" t="s">
        <v>343</v>
      </c>
      <c r="B2180" s="1" t="s">
        <v>4993</v>
      </c>
      <c r="C2180" s="1" t="n">
        <v>12</v>
      </c>
      <c r="E2180" s="1" t="s">
        <v>5656</v>
      </c>
      <c r="F2180" s="1" t="s">
        <v>1975</v>
      </c>
      <c r="G2180" s="1" t="s">
        <v>2699</v>
      </c>
      <c r="H2180" s="1" t="s">
        <v>5657</v>
      </c>
      <c r="I2180" s="1" t="s">
        <v>5658</v>
      </c>
      <c r="J2180" s="1" t="s">
        <v>5659</v>
      </c>
      <c r="K2180" s="1" t="n">
        <f aca="false">IF(Search!$D$5="",0,IF(AND(OR(Search!$N$5="",ISNUMBER(SEARCH(Search!$N$5,J2180))),OR(Search!$N$6="",ISNUMBER(SEARCH(Search!$N$6,J2180))),OR(Search!$N$7="",ISNUMBER(SEARCH(Search!$N$7,J2180))),OR(Search!$N$8="",ISNUMBER(SEARCH(Search!$N$8,J2180)))),1,0))</f>
        <v>0</v>
      </c>
      <c r="L2180" s="1" t="n">
        <f aca="false">L2179+K2180</f>
        <v>0</v>
      </c>
    </row>
    <row r="2181" customFormat="false" ht="15" hidden="false" customHeight="true" outlineLevel="0" collapsed="false">
      <c r="A2181" s="1" t="s">
        <v>343</v>
      </c>
      <c r="B2181" s="1" t="s">
        <v>4993</v>
      </c>
      <c r="C2181" s="1" t="n">
        <v>13</v>
      </c>
      <c r="E2181" s="1" t="s">
        <v>5660</v>
      </c>
      <c r="F2181" s="1" t="s">
        <v>1975</v>
      </c>
      <c r="G2181" s="1" t="s">
        <v>2710</v>
      </c>
      <c r="H2181" s="1" t="s">
        <v>5657</v>
      </c>
      <c r="I2181" s="1" t="s">
        <v>5661</v>
      </c>
      <c r="J2181" s="1" t="s">
        <v>5662</v>
      </c>
      <c r="K2181" s="1" t="n">
        <f aca="false">IF(Search!$D$5="",0,IF(AND(OR(Search!$N$5="",ISNUMBER(SEARCH(Search!$N$5,J2181))),OR(Search!$N$6="",ISNUMBER(SEARCH(Search!$N$6,J2181))),OR(Search!$N$7="",ISNUMBER(SEARCH(Search!$N$7,J2181))),OR(Search!$N$8="",ISNUMBER(SEARCH(Search!$N$8,J2181)))),1,0))</f>
        <v>0</v>
      </c>
      <c r="L2181" s="1" t="n">
        <f aca="false">L2180+K2181</f>
        <v>0</v>
      </c>
    </row>
    <row r="2182" customFormat="false" ht="15" hidden="false" customHeight="true" outlineLevel="0" collapsed="false">
      <c r="A2182" s="1" t="s">
        <v>343</v>
      </c>
      <c r="B2182" s="1" t="s">
        <v>4993</v>
      </c>
      <c r="C2182" s="1" t="n">
        <v>14</v>
      </c>
      <c r="E2182" s="1" t="s">
        <v>5663</v>
      </c>
      <c r="F2182" s="1" t="s">
        <v>627</v>
      </c>
      <c r="G2182" s="1" t="s">
        <v>3220</v>
      </c>
      <c r="H2182" s="1" t="s">
        <v>5664</v>
      </c>
      <c r="I2182" s="1" t="s">
        <v>5665</v>
      </c>
      <c r="J2182" s="1" t="s">
        <v>5666</v>
      </c>
      <c r="K2182" s="1" t="n">
        <f aca="false">IF(Search!$D$5="",0,IF(AND(OR(Search!$N$5="",ISNUMBER(SEARCH(Search!$N$5,J2182))),OR(Search!$N$6="",ISNUMBER(SEARCH(Search!$N$6,J2182))),OR(Search!$N$7="",ISNUMBER(SEARCH(Search!$N$7,J2182))),OR(Search!$N$8="",ISNUMBER(SEARCH(Search!$N$8,J2182)))),1,0))</f>
        <v>0</v>
      </c>
      <c r="L2182" s="1" t="n">
        <f aca="false">L2181+K2182</f>
        <v>0</v>
      </c>
    </row>
    <row r="2183" customFormat="false" ht="15" hidden="false" customHeight="true" outlineLevel="0" collapsed="false">
      <c r="A2183" s="1" t="s">
        <v>343</v>
      </c>
      <c r="B2183" s="1" t="s">
        <v>4993</v>
      </c>
      <c r="C2183" s="1" t="n">
        <v>15</v>
      </c>
      <c r="E2183" s="1" t="s">
        <v>5667</v>
      </c>
      <c r="F2183" s="1" t="s">
        <v>2746</v>
      </c>
      <c r="G2183" s="1" t="s">
        <v>780</v>
      </c>
      <c r="H2183" s="1" t="s">
        <v>5668</v>
      </c>
      <c r="I2183" s="1" t="s">
        <v>5669</v>
      </c>
      <c r="J2183" s="1" t="s">
        <v>5670</v>
      </c>
      <c r="K2183" s="1" t="n">
        <f aca="false">IF(Search!$D$5="",0,IF(AND(OR(Search!$N$5="",ISNUMBER(SEARCH(Search!$N$5,J2183))),OR(Search!$N$6="",ISNUMBER(SEARCH(Search!$N$6,J2183))),OR(Search!$N$7="",ISNUMBER(SEARCH(Search!$N$7,J2183))),OR(Search!$N$8="",ISNUMBER(SEARCH(Search!$N$8,J2183)))),1,0))</f>
        <v>0</v>
      </c>
      <c r="L2183" s="1" t="n">
        <f aca="false">L2182+K2183</f>
        <v>0</v>
      </c>
    </row>
    <row r="2184" customFormat="false" ht="15" hidden="false" customHeight="true" outlineLevel="0" collapsed="false">
      <c r="A2184" s="1" t="s">
        <v>343</v>
      </c>
      <c r="B2184" s="1" t="s">
        <v>4993</v>
      </c>
      <c r="C2184" s="1" t="n">
        <v>17</v>
      </c>
      <c r="E2184" s="1" t="s">
        <v>5671</v>
      </c>
      <c r="J2184" s="1" t="s">
        <v>5671</v>
      </c>
      <c r="K2184" s="1" t="n">
        <f aca="false">IF(Search!$D$5="",0,IF(AND(OR(Search!$N$5="",ISNUMBER(SEARCH(Search!$N$5,J2184))),OR(Search!$N$6="",ISNUMBER(SEARCH(Search!$N$6,J2184))),OR(Search!$N$7="",ISNUMBER(SEARCH(Search!$N$7,J2184))),OR(Search!$N$8="",ISNUMBER(SEARCH(Search!$N$8,J2184)))),1,0))</f>
        <v>0</v>
      </c>
      <c r="L2184" s="1" t="n">
        <f aca="false">L2183+K2184</f>
        <v>0</v>
      </c>
    </row>
    <row r="2185" customFormat="false" ht="68.25" hidden="false" customHeight="true" outlineLevel="0" collapsed="false">
      <c r="A2185" s="1" t="s">
        <v>343</v>
      </c>
      <c r="B2185" s="1" t="s">
        <v>4993</v>
      </c>
      <c r="C2185" s="1" t="n">
        <v>18</v>
      </c>
      <c r="E2185" s="1" t="s">
        <v>5633</v>
      </c>
      <c r="F2185" s="46" t="s">
        <v>5496</v>
      </c>
      <c r="G2185" s="46" t="s">
        <v>5634</v>
      </c>
      <c r="H2185" s="46" t="s">
        <v>5635</v>
      </c>
      <c r="I2185" s="46" t="s">
        <v>5672</v>
      </c>
      <c r="J2185" s="46" t="s">
        <v>5673</v>
      </c>
      <c r="K2185" s="1" t="n">
        <f aca="false">IF(Search!$D$5="",0,IF(AND(OR(Search!$N$5="",ISNUMBER(SEARCH(Search!$N$5,J2185))),OR(Search!$N$6="",ISNUMBER(SEARCH(Search!$N$6,J2185))),OR(Search!$N$7="",ISNUMBER(SEARCH(Search!$N$7,J2185))),OR(Search!$N$8="",ISNUMBER(SEARCH(Search!$N$8,J2185)))),1,0))</f>
        <v>0</v>
      </c>
      <c r="L2185" s="1" t="n">
        <f aca="false">L2184+K2185</f>
        <v>0</v>
      </c>
    </row>
    <row r="2186" customFormat="false" ht="15" hidden="false" customHeight="true" outlineLevel="0" collapsed="false">
      <c r="A2186" s="1" t="s">
        <v>343</v>
      </c>
      <c r="B2186" s="1" t="s">
        <v>4993</v>
      </c>
      <c r="C2186" s="1" t="n">
        <v>19</v>
      </c>
      <c r="E2186" s="1" t="s">
        <v>5674</v>
      </c>
      <c r="F2186" s="1" t="s">
        <v>1834</v>
      </c>
      <c r="G2186" s="1" t="s">
        <v>2168</v>
      </c>
      <c r="H2186" s="1" t="s">
        <v>5675</v>
      </c>
      <c r="I2186" s="1" t="s">
        <v>5676</v>
      </c>
      <c r="J2186" s="1" t="s">
        <v>5677</v>
      </c>
      <c r="K2186" s="1" t="n">
        <f aca="false">IF(Search!$D$5="",0,IF(AND(OR(Search!$N$5="",ISNUMBER(SEARCH(Search!$N$5,J2186))),OR(Search!$N$6="",ISNUMBER(SEARCH(Search!$N$6,J2186))),OR(Search!$N$7="",ISNUMBER(SEARCH(Search!$N$7,J2186))),OR(Search!$N$8="",ISNUMBER(SEARCH(Search!$N$8,J2186)))),1,0))</f>
        <v>0</v>
      </c>
      <c r="L2186" s="1" t="n">
        <f aca="false">L2185+K2186</f>
        <v>0</v>
      </c>
    </row>
    <row r="2187" customFormat="false" ht="15" hidden="false" customHeight="true" outlineLevel="0" collapsed="false">
      <c r="A2187" s="1" t="s">
        <v>343</v>
      </c>
      <c r="B2187" s="1" t="s">
        <v>4993</v>
      </c>
      <c r="C2187" s="1" t="n">
        <v>20</v>
      </c>
      <c r="E2187" s="1" t="s">
        <v>5678</v>
      </c>
      <c r="F2187" s="1" t="s">
        <v>1838</v>
      </c>
      <c r="G2187" s="1" t="s">
        <v>1959</v>
      </c>
      <c r="H2187" s="1" t="s">
        <v>5643</v>
      </c>
      <c r="I2187" s="1" t="s">
        <v>3909</v>
      </c>
      <c r="J2187" s="1" t="s">
        <v>5679</v>
      </c>
      <c r="K2187" s="1" t="n">
        <f aca="false">IF(Search!$D$5="",0,IF(AND(OR(Search!$N$5="",ISNUMBER(SEARCH(Search!$N$5,J2187))),OR(Search!$N$6="",ISNUMBER(SEARCH(Search!$N$6,J2187))),OR(Search!$N$7="",ISNUMBER(SEARCH(Search!$N$7,J2187))),OR(Search!$N$8="",ISNUMBER(SEARCH(Search!$N$8,J2187)))),1,0))</f>
        <v>0</v>
      </c>
      <c r="L2187" s="1" t="n">
        <f aca="false">L2186+K2187</f>
        <v>0</v>
      </c>
    </row>
    <row r="2188" customFormat="false" ht="15" hidden="false" customHeight="true" outlineLevel="0" collapsed="false">
      <c r="A2188" s="1" t="s">
        <v>343</v>
      </c>
      <c r="B2188" s="1" t="s">
        <v>4993</v>
      </c>
      <c r="C2188" s="1" t="n">
        <v>21</v>
      </c>
      <c r="E2188" s="1" t="s">
        <v>5680</v>
      </c>
      <c r="F2188" s="1" t="s">
        <v>1904</v>
      </c>
      <c r="G2188" s="1" t="s">
        <v>492</v>
      </c>
      <c r="H2188" s="1" t="s">
        <v>5650</v>
      </c>
      <c r="I2188" s="1" t="s">
        <v>5681</v>
      </c>
      <c r="J2188" s="1" t="s">
        <v>5682</v>
      </c>
      <c r="K2188" s="1" t="n">
        <f aca="false">IF(Search!$D$5="",0,IF(AND(OR(Search!$N$5="",ISNUMBER(SEARCH(Search!$N$5,J2188))),OR(Search!$N$6="",ISNUMBER(SEARCH(Search!$N$6,J2188))),OR(Search!$N$7="",ISNUMBER(SEARCH(Search!$N$7,J2188))),OR(Search!$N$8="",ISNUMBER(SEARCH(Search!$N$8,J2188)))),1,0))</f>
        <v>0</v>
      </c>
      <c r="L2188" s="1" t="n">
        <f aca="false">L2187+K2188</f>
        <v>0</v>
      </c>
    </row>
    <row r="2189" customFormat="false" ht="15" hidden="false" customHeight="true" outlineLevel="0" collapsed="false">
      <c r="A2189" s="1" t="s">
        <v>343</v>
      </c>
      <c r="B2189" s="1" t="s">
        <v>4993</v>
      </c>
      <c r="C2189" s="1" t="n">
        <v>22</v>
      </c>
      <c r="E2189" s="1" t="s">
        <v>5683</v>
      </c>
      <c r="F2189" s="1" t="s">
        <v>1975</v>
      </c>
      <c r="G2189" s="1" t="s">
        <v>2699</v>
      </c>
      <c r="H2189" s="1" t="s">
        <v>5684</v>
      </c>
      <c r="I2189" s="1" t="s">
        <v>1312</v>
      </c>
      <c r="J2189" s="1" t="s">
        <v>5685</v>
      </c>
      <c r="K2189" s="1" t="n">
        <f aca="false">IF(Search!$D$5="",0,IF(AND(OR(Search!$N$5="",ISNUMBER(SEARCH(Search!$N$5,J2189))),OR(Search!$N$6="",ISNUMBER(SEARCH(Search!$N$6,J2189))),OR(Search!$N$7="",ISNUMBER(SEARCH(Search!$N$7,J2189))),OR(Search!$N$8="",ISNUMBER(SEARCH(Search!$N$8,J2189)))),1,0))</f>
        <v>0</v>
      </c>
      <c r="L2189" s="1" t="n">
        <f aca="false">L2188+K2189</f>
        <v>0</v>
      </c>
    </row>
    <row r="2190" customFormat="false" ht="15" hidden="false" customHeight="true" outlineLevel="0" collapsed="false">
      <c r="A2190" s="1" t="s">
        <v>343</v>
      </c>
      <c r="B2190" s="1" t="s">
        <v>4993</v>
      </c>
      <c r="C2190" s="1" t="n">
        <v>23</v>
      </c>
      <c r="E2190" s="1" t="s">
        <v>5686</v>
      </c>
      <c r="F2190" s="1" t="s">
        <v>627</v>
      </c>
      <c r="G2190" s="1" t="s">
        <v>3220</v>
      </c>
      <c r="H2190" s="1" t="s">
        <v>5687</v>
      </c>
      <c r="I2190" s="1" t="s">
        <v>4362</v>
      </c>
      <c r="J2190" s="1" t="s">
        <v>5688</v>
      </c>
      <c r="K2190" s="1" t="n">
        <f aca="false">IF(Search!$D$5="",0,IF(AND(OR(Search!$N$5="",ISNUMBER(SEARCH(Search!$N$5,J2190))),OR(Search!$N$6="",ISNUMBER(SEARCH(Search!$N$6,J2190))),OR(Search!$N$7="",ISNUMBER(SEARCH(Search!$N$7,J2190))),OR(Search!$N$8="",ISNUMBER(SEARCH(Search!$N$8,J2190)))),1,0))</f>
        <v>0</v>
      </c>
      <c r="L2190" s="1" t="n">
        <f aca="false">L2189+K2190</f>
        <v>0</v>
      </c>
    </row>
    <row r="2191" customFormat="false" ht="15" hidden="false" customHeight="true" outlineLevel="0" collapsed="false">
      <c r="A2191" s="1" t="s">
        <v>343</v>
      </c>
      <c r="B2191" s="1" t="s">
        <v>4993</v>
      </c>
      <c r="C2191" s="1" t="n">
        <v>24</v>
      </c>
      <c r="E2191" s="1" t="s">
        <v>5689</v>
      </c>
      <c r="F2191" s="1" t="s">
        <v>2746</v>
      </c>
      <c r="G2191" s="1" t="s">
        <v>780</v>
      </c>
      <c r="H2191" s="1" t="s">
        <v>5690</v>
      </c>
      <c r="I2191" s="1" t="s">
        <v>2850</v>
      </c>
      <c r="J2191" s="1" t="s">
        <v>5691</v>
      </c>
      <c r="K2191" s="1" t="n">
        <f aca="false">IF(Search!$D$5="",0,IF(AND(OR(Search!$N$5="",ISNUMBER(SEARCH(Search!$N$5,J2191))),OR(Search!$N$6="",ISNUMBER(SEARCH(Search!$N$6,J2191))),OR(Search!$N$7="",ISNUMBER(SEARCH(Search!$N$7,J2191))),OR(Search!$N$8="",ISNUMBER(SEARCH(Search!$N$8,J2191)))),1,0))</f>
        <v>0</v>
      </c>
      <c r="L2191" s="1" t="n">
        <f aca="false">L2190+K2191</f>
        <v>0</v>
      </c>
    </row>
    <row r="2192" customFormat="false" ht="15" hidden="false" customHeight="true" outlineLevel="0" collapsed="false">
      <c r="A2192" s="1" t="s">
        <v>343</v>
      </c>
      <c r="B2192" s="1" t="s">
        <v>4993</v>
      </c>
      <c r="C2192" s="1" t="n">
        <v>26</v>
      </c>
      <c r="E2192" s="1" t="s">
        <v>5692</v>
      </c>
      <c r="J2192" s="1" t="s">
        <v>5692</v>
      </c>
      <c r="K2192" s="1" t="n">
        <f aca="false">IF(Search!$D$5="",0,IF(AND(OR(Search!$N$5="",ISNUMBER(SEARCH(Search!$N$5,J2192))),OR(Search!$N$6="",ISNUMBER(SEARCH(Search!$N$6,J2192))),OR(Search!$N$7="",ISNUMBER(SEARCH(Search!$N$7,J2192))),OR(Search!$N$8="",ISNUMBER(SEARCH(Search!$N$8,J2192)))),1,0))</f>
        <v>0</v>
      </c>
      <c r="L2192" s="1" t="n">
        <f aca="false">L2191+K2192</f>
        <v>0</v>
      </c>
    </row>
    <row r="2193" customFormat="false" ht="54.75" hidden="false" customHeight="true" outlineLevel="0" collapsed="false">
      <c r="A2193" s="1" t="s">
        <v>343</v>
      </c>
      <c r="B2193" s="1" t="s">
        <v>4993</v>
      </c>
      <c r="C2193" s="1" t="n">
        <v>27</v>
      </c>
      <c r="E2193" s="1" t="s">
        <v>5263</v>
      </c>
      <c r="F2193" s="46" t="s">
        <v>5693</v>
      </c>
      <c r="G2193" s="46" t="s">
        <v>5694</v>
      </c>
      <c r="H2193" s="46" t="s">
        <v>5695</v>
      </c>
      <c r="I2193" s="1" t="s">
        <v>4795</v>
      </c>
      <c r="J2193" s="46" t="s">
        <v>5696</v>
      </c>
      <c r="K2193" s="1" t="n">
        <f aca="false">IF(Search!$D$5="",0,IF(AND(OR(Search!$N$5="",ISNUMBER(SEARCH(Search!$N$5,J2193))),OR(Search!$N$6="",ISNUMBER(SEARCH(Search!$N$6,J2193))),OR(Search!$N$7="",ISNUMBER(SEARCH(Search!$N$7,J2193))),OR(Search!$N$8="",ISNUMBER(SEARCH(Search!$N$8,J2193)))),1,0))</f>
        <v>0</v>
      </c>
      <c r="L2193" s="1" t="n">
        <f aca="false">L2192+K2193</f>
        <v>0</v>
      </c>
    </row>
    <row r="2194" customFormat="false" ht="15" hidden="false" customHeight="true" outlineLevel="0" collapsed="false">
      <c r="A2194" s="1" t="s">
        <v>343</v>
      </c>
      <c r="B2194" s="1" t="s">
        <v>4993</v>
      </c>
      <c r="C2194" s="1" t="n">
        <v>28</v>
      </c>
      <c r="E2194" s="1" t="s">
        <v>5697</v>
      </c>
      <c r="F2194" s="1" t="s">
        <v>1904</v>
      </c>
      <c r="G2194" s="1" t="s">
        <v>5698</v>
      </c>
      <c r="H2194" s="1" t="s">
        <v>5699</v>
      </c>
      <c r="I2194" s="1" t="s">
        <v>5700</v>
      </c>
      <c r="J2194" s="1" t="s">
        <v>5701</v>
      </c>
      <c r="K2194" s="1" t="n">
        <f aca="false">IF(Search!$D$5="",0,IF(AND(OR(Search!$N$5="",ISNUMBER(SEARCH(Search!$N$5,J2194))),OR(Search!$N$6="",ISNUMBER(SEARCH(Search!$N$6,J2194))),OR(Search!$N$7="",ISNUMBER(SEARCH(Search!$N$7,J2194))),OR(Search!$N$8="",ISNUMBER(SEARCH(Search!$N$8,J2194)))),1,0))</f>
        <v>0</v>
      </c>
      <c r="L2194" s="1" t="n">
        <f aca="false">L2193+K2194</f>
        <v>0</v>
      </c>
    </row>
    <row r="2195" customFormat="false" ht="15" hidden="false" customHeight="true" outlineLevel="0" collapsed="false">
      <c r="A2195" s="1" t="s">
        <v>343</v>
      </c>
      <c r="B2195" s="1" t="s">
        <v>4993</v>
      </c>
      <c r="C2195" s="1" t="n">
        <v>29</v>
      </c>
      <c r="E2195" s="1" t="s">
        <v>5702</v>
      </c>
      <c r="F2195" s="1" t="s">
        <v>1975</v>
      </c>
      <c r="G2195" s="1" t="s">
        <v>5703</v>
      </c>
      <c r="H2195" s="1" t="s">
        <v>5704</v>
      </c>
      <c r="I2195" s="1" t="s">
        <v>5700</v>
      </c>
      <c r="J2195" s="1" t="s">
        <v>5705</v>
      </c>
      <c r="K2195" s="1" t="n">
        <f aca="false">IF(Search!$D$5="",0,IF(AND(OR(Search!$N$5="",ISNUMBER(SEARCH(Search!$N$5,J2195))),OR(Search!$N$6="",ISNUMBER(SEARCH(Search!$N$6,J2195))),OR(Search!$N$7="",ISNUMBER(SEARCH(Search!$N$7,J2195))),OR(Search!$N$8="",ISNUMBER(SEARCH(Search!$N$8,J2195)))),1,0))</f>
        <v>0</v>
      </c>
      <c r="L2195" s="1" t="n">
        <f aca="false">L2194+K2195</f>
        <v>0</v>
      </c>
    </row>
    <row r="2196" customFormat="false" ht="15" hidden="false" customHeight="true" outlineLevel="0" collapsed="false">
      <c r="A2196" s="1" t="s">
        <v>343</v>
      </c>
      <c r="B2196" s="1" t="s">
        <v>4993</v>
      </c>
      <c r="C2196" s="1" t="n">
        <v>30</v>
      </c>
      <c r="E2196" s="1" t="s">
        <v>5706</v>
      </c>
      <c r="F2196" s="1" t="s">
        <v>1904</v>
      </c>
      <c r="G2196" s="1" t="s">
        <v>5707</v>
      </c>
      <c r="H2196" s="1" t="s">
        <v>5704</v>
      </c>
      <c r="I2196" s="1" t="s">
        <v>5700</v>
      </c>
      <c r="J2196" s="1" t="s">
        <v>5708</v>
      </c>
      <c r="K2196" s="1" t="n">
        <f aca="false">IF(Search!$D$5="",0,IF(AND(OR(Search!$N$5="",ISNUMBER(SEARCH(Search!$N$5,J2196))),OR(Search!$N$6="",ISNUMBER(SEARCH(Search!$N$6,J2196))),OR(Search!$N$7="",ISNUMBER(SEARCH(Search!$N$7,J2196))),OR(Search!$N$8="",ISNUMBER(SEARCH(Search!$N$8,J2196)))),1,0))</f>
        <v>0</v>
      </c>
      <c r="L2196" s="1" t="n">
        <f aca="false">L2195+K2196</f>
        <v>0</v>
      </c>
    </row>
    <row r="2197" customFormat="false" ht="15" hidden="false" customHeight="true" outlineLevel="0" collapsed="false">
      <c r="A2197" s="1" t="s">
        <v>343</v>
      </c>
      <c r="B2197" s="1" t="s">
        <v>4993</v>
      </c>
      <c r="C2197" s="1" t="n">
        <v>31</v>
      </c>
      <c r="E2197" s="1" t="s">
        <v>5709</v>
      </c>
      <c r="F2197" s="1" t="s">
        <v>1975</v>
      </c>
      <c r="G2197" s="1" t="s">
        <v>5710</v>
      </c>
      <c r="H2197" s="1" t="s">
        <v>5704</v>
      </c>
      <c r="I2197" s="1" t="s">
        <v>5700</v>
      </c>
      <c r="J2197" s="1" t="s">
        <v>5711</v>
      </c>
      <c r="K2197" s="1" t="n">
        <f aca="false">IF(Search!$D$5="",0,IF(AND(OR(Search!$N$5="",ISNUMBER(SEARCH(Search!$N$5,J2197))),OR(Search!$N$6="",ISNUMBER(SEARCH(Search!$N$6,J2197))),OR(Search!$N$7="",ISNUMBER(SEARCH(Search!$N$7,J2197))),OR(Search!$N$8="",ISNUMBER(SEARCH(Search!$N$8,J2197)))),1,0))</f>
        <v>0</v>
      </c>
      <c r="L2197" s="1" t="n">
        <f aca="false">L2196+K2197</f>
        <v>0</v>
      </c>
    </row>
    <row r="2198" customFormat="false" ht="15" hidden="false" customHeight="true" outlineLevel="0" collapsed="false">
      <c r="A2198" s="1" t="s">
        <v>343</v>
      </c>
      <c r="B2198" s="1" t="s">
        <v>4993</v>
      </c>
      <c r="C2198" s="1" t="n">
        <v>33</v>
      </c>
      <c r="E2198" s="1" t="s">
        <v>5712</v>
      </c>
      <c r="J2198" s="1" t="s">
        <v>5712</v>
      </c>
      <c r="K2198" s="1" t="n">
        <f aca="false">IF(Search!$D$5="",0,IF(AND(OR(Search!$N$5="",ISNUMBER(SEARCH(Search!$N$5,J2198))),OR(Search!$N$6="",ISNUMBER(SEARCH(Search!$N$6,J2198))),OR(Search!$N$7="",ISNUMBER(SEARCH(Search!$N$7,J2198))),OR(Search!$N$8="",ISNUMBER(SEARCH(Search!$N$8,J2198)))),1,0))</f>
        <v>0</v>
      </c>
      <c r="L2198" s="1" t="n">
        <f aca="false">L2197+K2198</f>
        <v>0</v>
      </c>
    </row>
    <row r="2199" customFormat="false" ht="68.25" hidden="false" customHeight="true" outlineLevel="0" collapsed="false">
      <c r="A2199" s="1" t="s">
        <v>343</v>
      </c>
      <c r="B2199" s="1" t="s">
        <v>4993</v>
      </c>
      <c r="C2199" s="1" t="n">
        <v>34</v>
      </c>
      <c r="E2199" s="1" t="s">
        <v>5633</v>
      </c>
      <c r="F2199" s="46" t="s">
        <v>5496</v>
      </c>
      <c r="G2199" s="46" t="s">
        <v>5713</v>
      </c>
      <c r="H2199" s="46" t="s">
        <v>5672</v>
      </c>
      <c r="I2199" s="46" t="s">
        <v>5714</v>
      </c>
      <c r="J2199" s="46" t="s">
        <v>5715</v>
      </c>
      <c r="K2199" s="1" t="n">
        <f aca="false">IF(Search!$D$5="",0,IF(AND(OR(Search!$N$5="",ISNUMBER(SEARCH(Search!$N$5,J2199))),OR(Search!$N$6="",ISNUMBER(SEARCH(Search!$N$6,J2199))),OR(Search!$N$7="",ISNUMBER(SEARCH(Search!$N$7,J2199))),OR(Search!$N$8="",ISNUMBER(SEARCH(Search!$N$8,J2199)))),1,0))</f>
        <v>0</v>
      </c>
      <c r="L2199" s="1" t="n">
        <f aca="false">L2198+K2199</f>
        <v>0</v>
      </c>
    </row>
    <row r="2200" customFormat="false" ht="15" hidden="false" customHeight="true" outlineLevel="0" collapsed="false">
      <c r="A2200" s="1" t="s">
        <v>343</v>
      </c>
      <c r="B2200" s="1" t="s">
        <v>4993</v>
      </c>
      <c r="C2200" s="1" t="n">
        <v>35</v>
      </c>
      <c r="E2200" s="1" t="s">
        <v>5716</v>
      </c>
      <c r="F2200" s="1" t="s">
        <v>1834</v>
      </c>
      <c r="G2200" s="1" t="s">
        <v>1959</v>
      </c>
      <c r="H2200" s="1" t="s">
        <v>5717</v>
      </c>
      <c r="I2200" s="1" t="s">
        <v>5718</v>
      </c>
      <c r="J2200" s="1" t="s">
        <v>5719</v>
      </c>
      <c r="K2200" s="1" t="n">
        <f aca="false">IF(Search!$D$5="",0,IF(AND(OR(Search!$N$5="",ISNUMBER(SEARCH(Search!$N$5,J2200))),OR(Search!$N$6="",ISNUMBER(SEARCH(Search!$N$6,J2200))),OR(Search!$N$7="",ISNUMBER(SEARCH(Search!$N$7,J2200))),OR(Search!$N$8="",ISNUMBER(SEARCH(Search!$N$8,J2200)))),1,0))</f>
        <v>0</v>
      </c>
      <c r="L2200" s="1" t="n">
        <f aca="false">L2199+K2200</f>
        <v>0</v>
      </c>
    </row>
    <row r="2201" customFormat="false" ht="15" hidden="false" customHeight="true" outlineLevel="0" collapsed="false">
      <c r="A2201" s="1" t="s">
        <v>343</v>
      </c>
      <c r="B2201" s="1" t="s">
        <v>4993</v>
      </c>
      <c r="C2201" s="1" t="n">
        <v>36</v>
      </c>
      <c r="E2201" s="1" t="s">
        <v>5720</v>
      </c>
      <c r="F2201" s="1" t="s">
        <v>1834</v>
      </c>
      <c r="G2201" s="1" t="s">
        <v>492</v>
      </c>
      <c r="H2201" s="1" t="s">
        <v>5717</v>
      </c>
      <c r="I2201" s="1" t="s">
        <v>5718</v>
      </c>
      <c r="J2201" s="1" t="s">
        <v>5721</v>
      </c>
      <c r="K2201" s="1" t="n">
        <f aca="false">IF(Search!$D$5="",0,IF(AND(OR(Search!$N$5="",ISNUMBER(SEARCH(Search!$N$5,J2201))),OR(Search!$N$6="",ISNUMBER(SEARCH(Search!$N$6,J2201))),OR(Search!$N$7="",ISNUMBER(SEARCH(Search!$N$7,J2201))),OR(Search!$N$8="",ISNUMBER(SEARCH(Search!$N$8,J2201)))),1,0))</f>
        <v>0</v>
      </c>
      <c r="L2201" s="1" t="n">
        <f aca="false">L2200+K2201</f>
        <v>0</v>
      </c>
    </row>
    <row r="2202" customFormat="false" ht="15" hidden="false" customHeight="true" outlineLevel="0" collapsed="false">
      <c r="A2202" s="1" t="s">
        <v>343</v>
      </c>
      <c r="B2202" s="1" t="s">
        <v>4993</v>
      </c>
      <c r="C2202" s="1" t="n">
        <v>37</v>
      </c>
      <c r="E2202" s="1" t="s">
        <v>5722</v>
      </c>
      <c r="F2202" s="1" t="s">
        <v>1834</v>
      </c>
      <c r="G2202" s="1" t="s">
        <v>2699</v>
      </c>
      <c r="H2202" s="1" t="s">
        <v>5717</v>
      </c>
      <c r="I2202" s="1" t="s">
        <v>5718</v>
      </c>
      <c r="J2202" s="1" t="s">
        <v>5723</v>
      </c>
      <c r="K2202" s="1" t="n">
        <f aca="false">IF(Search!$D$5="",0,IF(AND(OR(Search!$N$5="",ISNUMBER(SEARCH(Search!$N$5,J2202))),OR(Search!$N$6="",ISNUMBER(SEARCH(Search!$N$6,J2202))),OR(Search!$N$7="",ISNUMBER(SEARCH(Search!$N$7,J2202))),OR(Search!$N$8="",ISNUMBER(SEARCH(Search!$N$8,J2202)))),1,0))</f>
        <v>0</v>
      </c>
      <c r="L2202" s="1" t="n">
        <f aca="false">L2201+K2202</f>
        <v>0</v>
      </c>
    </row>
    <row r="2203" customFormat="false" ht="15" hidden="false" customHeight="true" outlineLevel="0" collapsed="false">
      <c r="A2203" s="1" t="s">
        <v>343</v>
      </c>
      <c r="B2203" s="1" t="s">
        <v>4993</v>
      </c>
      <c r="C2203" s="1" t="n">
        <v>38</v>
      </c>
      <c r="E2203" s="1" t="s">
        <v>5724</v>
      </c>
      <c r="F2203" s="1" t="s">
        <v>1838</v>
      </c>
      <c r="G2203" s="1" t="s">
        <v>492</v>
      </c>
      <c r="H2203" s="1" t="s">
        <v>5725</v>
      </c>
      <c r="I2203" s="1" t="s">
        <v>5726</v>
      </c>
      <c r="J2203" s="1" t="s">
        <v>5727</v>
      </c>
      <c r="K2203" s="1" t="n">
        <f aca="false">IF(Search!$D$5="",0,IF(AND(OR(Search!$N$5="",ISNUMBER(SEARCH(Search!$N$5,J2203))),OR(Search!$N$6="",ISNUMBER(SEARCH(Search!$N$6,J2203))),OR(Search!$N$7="",ISNUMBER(SEARCH(Search!$N$7,J2203))),OR(Search!$N$8="",ISNUMBER(SEARCH(Search!$N$8,J2203)))),1,0))</f>
        <v>0</v>
      </c>
      <c r="L2203" s="1" t="n">
        <f aca="false">L2202+K2203</f>
        <v>0</v>
      </c>
    </row>
    <row r="2204" customFormat="false" ht="15" hidden="false" customHeight="true" outlineLevel="0" collapsed="false">
      <c r="A2204" s="1" t="s">
        <v>343</v>
      </c>
      <c r="B2204" s="1" t="s">
        <v>4993</v>
      </c>
      <c r="C2204" s="1" t="n">
        <v>39</v>
      </c>
      <c r="E2204" s="1" t="s">
        <v>5728</v>
      </c>
      <c r="F2204" s="1" t="s">
        <v>1838</v>
      </c>
      <c r="G2204" s="1" t="s">
        <v>3220</v>
      </c>
      <c r="H2204" s="1" t="s">
        <v>5725</v>
      </c>
      <c r="I2204" s="1" t="s">
        <v>5726</v>
      </c>
      <c r="J2204" s="1" t="s">
        <v>5729</v>
      </c>
      <c r="K2204" s="1" t="n">
        <f aca="false">IF(Search!$D$5="",0,IF(AND(OR(Search!$N$5="",ISNUMBER(SEARCH(Search!$N$5,J2204))),OR(Search!$N$6="",ISNUMBER(SEARCH(Search!$N$6,J2204))),OR(Search!$N$7="",ISNUMBER(SEARCH(Search!$N$7,J2204))),OR(Search!$N$8="",ISNUMBER(SEARCH(Search!$N$8,J2204)))),1,0))</f>
        <v>0</v>
      </c>
      <c r="L2204" s="1" t="n">
        <f aca="false">L2203+K2204</f>
        <v>0</v>
      </c>
    </row>
    <row r="2205" customFormat="false" ht="15" hidden="false" customHeight="true" outlineLevel="0" collapsed="false">
      <c r="A2205" s="1" t="s">
        <v>343</v>
      </c>
      <c r="B2205" s="1" t="s">
        <v>4993</v>
      </c>
      <c r="C2205" s="1" t="n">
        <v>40</v>
      </c>
      <c r="E2205" s="1" t="s">
        <v>5730</v>
      </c>
      <c r="F2205" s="1" t="s">
        <v>1838</v>
      </c>
      <c r="G2205" s="1" t="s">
        <v>2710</v>
      </c>
      <c r="H2205" s="1" t="s">
        <v>5725</v>
      </c>
      <c r="I2205" s="1" t="s">
        <v>5726</v>
      </c>
      <c r="J2205" s="1" t="s">
        <v>5731</v>
      </c>
      <c r="K2205" s="1" t="n">
        <f aca="false">IF(Search!$D$5="",0,IF(AND(OR(Search!$N$5="",ISNUMBER(SEARCH(Search!$N$5,J2205))),OR(Search!$N$6="",ISNUMBER(SEARCH(Search!$N$6,J2205))),OR(Search!$N$7="",ISNUMBER(SEARCH(Search!$N$7,J2205))),OR(Search!$N$8="",ISNUMBER(SEARCH(Search!$N$8,J2205)))),1,0))</f>
        <v>0</v>
      </c>
      <c r="L2205" s="1" t="n">
        <f aca="false">L2204+K2205</f>
        <v>0</v>
      </c>
    </row>
    <row r="2206" customFormat="false" ht="15" hidden="false" customHeight="true" outlineLevel="0" collapsed="false">
      <c r="A2206" s="1" t="s">
        <v>343</v>
      </c>
      <c r="B2206" s="1" t="s">
        <v>4993</v>
      </c>
      <c r="C2206" s="1" t="n">
        <v>41</v>
      </c>
      <c r="E2206" s="1" t="s">
        <v>5732</v>
      </c>
      <c r="F2206" s="1" t="s">
        <v>1904</v>
      </c>
      <c r="G2206" s="1" t="s">
        <v>3220</v>
      </c>
      <c r="H2206" s="1" t="s">
        <v>5733</v>
      </c>
      <c r="I2206" s="1" t="s">
        <v>5725</v>
      </c>
      <c r="J2206" s="1" t="s">
        <v>5734</v>
      </c>
      <c r="K2206" s="1" t="n">
        <f aca="false">IF(Search!$D$5="",0,IF(AND(OR(Search!$N$5="",ISNUMBER(SEARCH(Search!$N$5,J2206))),OR(Search!$N$6="",ISNUMBER(SEARCH(Search!$N$6,J2206))),OR(Search!$N$7="",ISNUMBER(SEARCH(Search!$N$7,J2206))),OR(Search!$N$8="",ISNUMBER(SEARCH(Search!$N$8,J2206)))),1,0))</f>
        <v>0</v>
      </c>
      <c r="L2206" s="1" t="n">
        <f aca="false">L2205+K2206</f>
        <v>0</v>
      </c>
    </row>
    <row r="2207" customFormat="false" ht="15" hidden="false" customHeight="true" outlineLevel="0" collapsed="false">
      <c r="A2207" s="1" t="s">
        <v>343</v>
      </c>
      <c r="B2207" s="1" t="s">
        <v>4993</v>
      </c>
      <c r="C2207" s="1" t="n">
        <v>42</v>
      </c>
      <c r="E2207" s="1" t="s">
        <v>5735</v>
      </c>
      <c r="F2207" s="1" t="s">
        <v>1904</v>
      </c>
      <c r="G2207" s="1" t="s">
        <v>2710</v>
      </c>
      <c r="H2207" s="1" t="s">
        <v>5733</v>
      </c>
      <c r="I2207" s="1" t="s">
        <v>5725</v>
      </c>
      <c r="J2207" s="1" t="s">
        <v>5736</v>
      </c>
      <c r="K2207" s="1" t="n">
        <f aca="false">IF(Search!$D$5="",0,IF(AND(OR(Search!$N$5="",ISNUMBER(SEARCH(Search!$N$5,J2207))),OR(Search!$N$6="",ISNUMBER(SEARCH(Search!$N$6,J2207))),OR(Search!$N$7="",ISNUMBER(SEARCH(Search!$N$7,J2207))),OR(Search!$N$8="",ISNUMBER(SEARCH(Search!$N$8,J2207)))),1,0))</f>
        <v>0</v>
      </c>
      <c r="L2207" s="1" t="n">
        <f aca="false">L2206+K2207</f>
        <v>0</v>
      </c>
    </row>
    <row r="2208" customFormat="false" ht="15" hidden="false" customHeight="true" outlineLevel="0" collapsed="false">
      <c r="A2208" s="1" t="s">
        <v>343</v>
      </c>
      <c r="B2208" s="1" t="s">
        <v>4993</v>
      </c>
      <c r="C2208" s="1" t="n">
        <v>43</v>
      </c>
      <c r="E2208" s="1" t="s">
        <v>5737</v>
      </c>
      <c r="F2208" s="1" t="s">
        <v>1904</v>
      </c>
      <c r="G2208" s="1" t="s">
        <v>2717</v>
      </c>
      <c r="H2208" s="1" t="s">
        <v>5733</v>
      </c>
      <c r="I2208" s="1" t="s">
        <v>5725</v>
      </c>
      <c r="J2208" s="1" t="s">
        <v>5738</v>
      </c>
      <c r="K2208" s="1" t="n">
        <f aca="false">IF(Search!$D$5="",0,IF(AND(OR(Search!$N$5="",ISNUMBER(SEARCH(Search!$N$5,J2208))),OR(Search!$N$6="",ISNUMBER(SEARCH(Search!$N$6,J2208))),OR(Search!$N$7="",ISNUMBER(SEARCH(Search!$N$7,J2208))),OR(Search!$N$8="",ISNUMBER(SEARCH(Search!$N$8,J2208)))),1,0))</f>
        <v>0</v>
      </c>
      <c r="L2208" s="1" t="n">
        <f aca="false">L2207+K2208</f>
        <v>0</v>
      </c>
    </row>
    <row r="2209" customFormat="false" ht="15" hidden="false" customHeight="true" outlineLevel="0" collapsed="false">
      <c r="A2209" s="1" t="s">
        <v>343</v>
      </c>
      <c r="B2209" s="1" t="s">
        <v>4993</v>
      </c>
      <c r="C2209" s="1" t="n">
        <v>45</v>
      </c>
      <c r="E2209" s="1" t="s">
        <v>5739</v>
      </c>
      <c r="J2209" s="1" t="s">
        <v>5739</v>
      </c>
      <c r="K2209" s="1" t="n">
        <f aca="false">IF(Search!$D$5="",0,IF(AND(OR(Search!$N$5="",ISNUMBER(SEARCH(Search!$N$5,J2209))),OR(Search!$N$6="",ISNUMBER(SEARCH(Search!$N$6,J2209))),OR(Search!$N$7="",ISNUMBER(SEARCH(Search!$N$7,J2209))),OR(Search!$N$8="",ISNUMBER(SEARCH(Search!$N$8,J2209)))),1,0))</f>
        <v>0</v>
      </c>
      <c r="L2209" s="1" t="n">
        <f aca="false">L2208+K2209</f>
        <v>0</v>
      </c>
    </row>
    <row r="2210" customFormat="false" ht="68.25" hidden="false" customHeight="true" outlineLevel="0" collapsed="false">
      <c r="A2210" s="1" t="s">
        <v>343</v>
      </c>
      <c r="B2210" s="1" t="s">
        <v>4993</v>
      </c>
      <c r="C2210" s="1" t="n">
        <v>46</v>
      </c>
      <c r="E2210" s="1" t="s">
        <v>5017</v>
      </c>
      <c r="F2210" s="46" t="s">
        <v>5496</v>
      </c>
      <c r="G2210" s="46" t="s">
        <v>5036</v>
      </c>
      <c r="H2210" s="46" t="s">
        <v>5078</v>
      </c>
      <c r="I2210" s="46" t="s">
        <v>5441</v>
      </c>
      <c r="J2210" s="46" t="s">
        <v>5740</v>
      </c>
      <c r="K2210" s="1" t="n">
        <f aca="false">IF(Search!$D$5="",0,IF(AND(OR(Search!$N$5="",ISNUMBER(SEARCH(Search!$N$5,J2210))),OR(Search!$N$6="",ISNUMBER(SEARCH(Search!$N$6,J2210))),OR(Search!$N$7="",ISNUMBER(SEARCH(Search!$N$7,J2210))),OR(Search!$N$8="",ISNUMBER(SEARCH(Search!$N$8,J2210)))),1,0))</f>
        <v>0</v>
      </c>
      <c r="L2210" s="1" t="n">
        <f aca="false">L2209+K2210</f>
        <v>0</v>
      </c>
    </row>
    <row r="2211" customFormat="false" ht="15" hidden="false" customHeight="true" outlineLevel="0" collapsed="false">
      <c r="A2211" s="1" t="s">
        <v>343</v>
      </c>
      <c r="B2211" s="1" t="s">
        <v>4993</v>
      </c>
      <c r="C2211" s="1" t="n">
        <v>47</v>
      </c>
      <c r="E2211" s="1" t="s">
        <v>5023</v>
      </c>
      <c r="F2211" s="1" t="s">
        <v>1975</v>
      </c>
      <c r="G2211" s="1" t="s">
        <v>2168</v>
      </c>
      <c r="H2211" s="1" t="s">
        <v>2710</v>
      </c>
      <c r="I2211" s="1" t="s">
        <v>2925</v>
      </c>
      <c r="J2211" s="1" t="s">
        <v>5741</v>
      </c>
      <c r="K2211" s="1" t="n">
        <f aca="false">IF(Search!$D$5="",0,IF(AND(OR(Search!$N$5="",ISNUMBER(SEARCH(Search!$N$5,J2211))),OR(Search!$N$6="",ISNUMBER(SEARCH(Search!$N$6,J2211))),OR(Search!$N$7="",ISNUMBER(SEARCH(Search!$N$7,J2211))),OR(Search!$N$8="",ISNUMBER(SEARCH(Search!$N$8,J2211)))),1,0))</f>
        <v>0</v>
      </c>
      <c r="L2211" s="1" t="n">
        <f aca="false">L2210+K2211</f>
        <v>0</v>
      </c>
    </row>
    <row r="2212" customFormat="false" ht="15" hidden="false" customHeight="true" outlineLevel="0" collapsed="false">
      <c r="A2212" s="1" t="s">
        <v>343</v>
      </c>
      <c r="B2212" s="1" t="s">
        <v>4993</v>
      </c>
      <c r="C2212" s="1" t="n">
        <v>48</v>
      </c>
      <c r="E2212" s="1" t="s">
        <v>5025</v>
      </c>
      <c r="F2212" s="1" t="s">
        <v>627</v>
      </c>
      <c r="G2212" s="1" t="s">
        <v>1959</v>
      </c>
      <c r="H2212" s="1" t="s">
        <v>2717</v>
      </c>
      <c r="I2212" s="1" t="s">
        <v>1654</v>
      </c>
      <c r="J2212" s="1" t="s">
        <v>5742</v>
      </c>
      <c r="K2212" s="1" t="n">
        <f aca="false">IF(Search!$D$5="",0,IF(AND(OR(Search!$N$5="",ISNUMBER(SEARCH(Search!$N$5,J2212))),OR(Search!$N$6="",ISNUMBER(SEARCH(Search!$N$6,J2212))),OR(Search!$N$7="",ISNUMBER(SEARCH(Search!$N$7,J2212))),OR(Search!$N$8="",ISNUMBER(SEARCH(Search!$N$8,J2212)))),1,0))</f>
        <v>0</v>
      </c>
      <c r="L2212" s="1" t="n">
        <f aca="false">L2211+K2212</f>
        <v>0</v>
      </c>
    </row>
    <row r="2213" customFormat="false" ht="15" hidden="false" customHeight="true" outlineLevel="0" collapsed="false">
      <c r="A2213" s="1" t="s">
        <v>343</v>
      </c>
      <c r="B2213" s="1" t="s">
        <v>4993</v>
      </c>
      <c r="C2213" s="1" t="n">
        <v>49</v>
      </c>
      <c r="E2213" s="1" t="s">
        <v>5027</v>
      </c>
      <c r="F2213" s="1" t="s">
        <v>2061</v>
      </c>
      <c r="G2213" s="1" t="s">
        <v>492</v>
      </c>
      <c r="H2213" s="1" t="s">
        <v>736</v>
      </c>
      <c r="I2213" s="1" t="s">
        <v>5044</v>
      </c>
      <c r="J2213" s="1" t="s">
        <v>5743</v>
      </c>
      <c r="K2213" s="1" t="n">
        <f aca="false">IF(Search!$D$5="",0,IF(AND(OR(Search!$N$5="",ISNUMBER(SEARCH(Search!$N$5,J2213))),OR(Search!$N$6="",ISNUMBER(SEARCH(Search!$N$6,J2213))),OR(Search!$N$7="",ISNUMBER(SEARCH(Search!$N$7,J2213))),OR(Search!$N$8="",ISNUMBER(SEARCH(Search!$N$8,J2213)))),1,0))</f>
        <v>0</v>
      </c>
      <c r="L2213" s="1" t="n">
        <f aca="false">L2212+K2213</f>
        <v>0</v>
      </c>
    </row>
    <row r="2214" customFormat="false" ht="15" hidden="false" customHeight="true" outlineLevel="0" collapsed="false">
      <c r="A2214" s="1" t="s">
        <v>343</v>
      </c>
      <c r="B2214" s="1" t="s">
        <v>4993</v>
      </c>
      <c r="C2214" s="1" t="n">
        <v>50</v>
      </c>
      <c r="E2214" s="1" t="s">
        <v>5029</v>
      </c>
      <c r="F2214" s="1" t="s">
        <v>585</v>
      </c>
      <c r="G2214" s="1" t="s">
        <v>2699</v>
      </c>
      <c r="H2214" s="1" t="s">
        <v>3721</v>
      </c>
      <c r="I2214" s="1" t="s">
        <v>5047</v>
      </c>
      <c r="J2214" s="1" t="s">
        <v>5744</v>
      </c>
      <c r="K2214" s="1" t="n">
        <f aca="false">IF(Search!$D$5="",0,IF(AND(OR(Search!$N$5="",ISNUMBER(SEARCH(Search!$N$5,J2214))),OR(Search!$N$6="",ISNUMBER(SEARCH(Search!$N$6,J2214))),OR(Search!$N$7="",ISNUMBER(SEARCH(Search!$N$7,J2214))),OR(Search!$N$8="",ISNUMBER(SEARCH(Search!$N$8,J2214)))),1,0))</f>
        <v>0</v>
      </c>
      <c r="L2214" s="1" t="n">
        <f aca="false">L2213+K2214</f>
        <v>0</v>
      </c>
    </row>
    <row r="2215" customFormat="false" ht="15" hidden="false" customHeight="true" outlineLevel="0" collapsed="false">
      <c r="A2215" s="1" t="s">
        <v>343</v>
      </c>
      <c r="B2215" s="1" t="s">
        <v>4993</v>
      </c>
      <c r="C2215" s="1" t="n">
        <v>51</v>
      </c>
      <c r="E2215" s="1" t="s">
        <v>5031</v>
      </c>
      <c r="F2215" s="1" t="s">
        <v>579</v>
      </c>
      <c r="G2215" s="1" t="s">
        <v>2820</v>
      </c>
      <c r="H2215" s="1" t="s">
        <v>2895</v>
      </c>
      <c r="I2215" s="1" t="s">
        <v>5050</v>
      </c>
      <c r="J2215" s="1" t="s">
        <v>5745</v>
      </c>
      <c r="K2215" s="1" t="n">
        <f aca="false">IF(Search!$D$5="",0,IF(AND(OR(Search!$N$5="",ISNUMBER(SEARCH(Search!$N$5,J2215))),OR(Search!$N$6="",ISNUMBER(SEARCH(Search!$N$6,J2215))),OR(Search!$N$7="",ISNUMBER(SEARCH(Search!$N$7,J2215))),OR(Search!$N$8="",ISNUMBER(SEARCH(Search!$N$8,J2215)))),1,0))</f>
        <v>0</v>
      </c>
      <c r="L2215" s="1" t="n">
        <f aca="false">L2214+K2215</f>
        <v>0</v>
      </c>
    </row>
    <row r="2216" customFormat="false" ht="15" hidden="false" customHeight="true" outlineLevel="0" collapsed="false">
      <c r="A2216" s="1" t="s">
        <v>343</v>
      </c>
      <c r="B2216" s="1" t="s">
        <v>4993</v>
      </c>
      <c r="C2216" s="1" t="n">
        <v>52</v>
      </c>
      <c r="E2216" s="1" t="s">
        <v>5033</v>
      </c>
      <c r="F2216" s="1" t="s">
        <v>2180</v>
      </c>
      <c r="G2216" s="1" t="s">
        <v>2704</v>
      </c>
      <c r="H2216" s="1" t="s">
        <v>754</v>
      </c>
      <c r="I2216" s="1" t="s">
        <v>5054</v>
      </c>
      <c r="J2216" s="1" t="s">
        <v>5746</v>
      </c>
      <c r="K2216" s="1" t="n">
        <f aca="false">IF(Search!$D$5="",0,IF(AND(OR(Search!$N$5="",ISNUMBER(SEARCH(Search!$N$5,J2216))),OR(Search!$N$6="",ISNUMBER(SEARCH(Search!$N$6,J2216))),OR(Search!$N$7="",ISNUMBER(SEARCH(Search!$N$7,J2216))),OR(Search!$N$8="",ISNUMBER(SEARCH(Search!$N$8,J2216)))),1,0))</f>
        <v>0</v>
      </c>
      <c r="L2216" s="1" t="n">
        <f aca="false">L2215+K2216</f>
        <v>0</v>
      </c>
    </row>
    <row r="2217" customFormat="false" ht="15" hidden="false" customHeight="true" outlineLevel="0" collapsed="false">
      <c r="A2217" s="1" t="s">
        <v>343</v>
      </c>
      <c r="B2217" s="1" t="s">
        <v>4993</v>
      </c>
      <c r="C2217" s="1" t="n">
        <v>54</v>
      </c>
      <c r="E2217" s="1" t="s">
        <v>5747</v>
      </c>
      <c r="J2217" s="1" t="s">
        <v>5747</v>
      </c>
      <c r="K2217" s="1" t="n">
        <f aca="false">IF(Search!$D$5="",0,IF(AND(OR(Search!$N$5="",ISNUMBER(SEARCH(Search!$N$5,J2217))),OR(Search!$N$6="",ISNUMBER(SEARCH(Search!$N$6,J2217))),OR(Search!$N$7="",ISNUMBER(SEARCH(Search!$N$7,J2217))),OR(Search!$N$8="",ISNUMBER(SEARCH(Search!$N$8,J2217)))),1,0))</f>
        <v>0</v>
      </c>
      <c r="L2217" s="1" t="n">
        <f aca="false">L2216+K2217</f>
        <v>0</v>
      </c>
    </row>
    <row r="2218" customFormat="false" ht="15" hidden="false" customHeight="true" outlineLevel="0" collapsed="false">
      <c r="K2218" s="1" t="n">
        <f aca="false">IF(Search!$D$5="",0,IF(AND(OR(Search!$N$5="",ISNUMBER(SEARCH(Search!$N$5,J2218))),OR(Search!$N$6="",ISNUMBER(SEARCH(Search!$N$6,J2218))),OR(Search!$N$7="",ISNUMBER(SEARCH(Search!$N$7,J2218))),OR(Search!$N$8="",ISNUMBER(SEARCH(Search!$N$8,J2218)))),1,0))</f>
        <v>0</v>
      </c>
      <c r="L2218" s="1" t="n">
        <f aca="false">L2217+K2218</f>
        <v>0</v>
      </c>
    </row>
    <row r="2219" customFormat="false" ht="15" hidden="false" customHeight="true" outlineLevel="0" collapsed="false">
      <c r="A2219" s="1" t="s">
        <v>30</v>
      </c>
      <c r="B2219" s="1" t="s">
        <v>30</v>
      </c>
      <c r="C2219" s="1" t="n">
        <v>4</v>
      </c>
      <c r="D2219" s="1" t="s">
        <v>5748</v>
      </c>
      <c r="E2219" s="1" t="s">
        <v>5749</v>
      </c>
      <c r="J2219" s="1" t="s">
        <v>5750</v>
      </c>
      <c r="K2219" s="1" t="n">
        <f aca="false">IF(Search!$D$5="",0,IF(AND(OR(Search!$N$5="",ISNUMBER(SEARCH(Search!$N$5,J2219))),OR(Search!$N$6="",ISNUMBER(SEARCH(Search!$N$6,J2219))),OR(Search!$N$7="",ISNUMBER(SEARCH(Search!$N$7,J2219))),OR(Search!$N$8="",ISNUMBER(SEARCH(Search!$N$8,J2219)))),1,0))</f>
        <v>0</v>
      </c>
      <c r="L2219" s="1" t="n">
        <f aca="false">L2218+K2219</f>
        <v>0</v>
      </c>
    </row>
    <row r="2220" customFormat="false" ht="15" hidden="false" customHeight="true" outlineLevel="0" collapsed="false">
      <c r="A2220" s="1" t="s">
        <v>30</v>
      </c>
      <c r="B2220" s="1" t="s">
        <v>30</v>
      </c>
      <c r="C2220" s="1" t="n">
        <v>20</v>
      </c>
      <c r="D2220" s="1" t="s">
        <v>5751</v>
      </c>
      <c r="E2220" s="1" t="s">
        <v>5752</v>
      </c>
      <c r="J2220" s="1" t="s">
        <v>5753</v>
      </c>
      <c r="K2220" s="1" t="n">
        <f aca="false">IF(Search!$D$5="",0,IF(AND(OR(Search!$N$5="",ISNUMBER(SEARCH(Search!$N$5,J2220))),OR(Search!$N$6="",ISNUMBER(SEARCH(Search!$N$6,J2220))),OR(Search!$N$7="",ISNUMBER(SEARCH(Search!$N$7,J2220))),OR(Search!$N$8="",ISNUMBER(SEARCH(Search!$N$8,J2220)))),1,0))</f>
        <v>0</v>
      </c>
      <c r="L2220" s="1" t="n">
        <f aca="false">L2219+K2220</f>
        <v>0</v>
      </c>
    </row>
    <row r="2221" customFormat="false" ht="15" hidden="false" customHeight="true" outlineLevel="0" collapsed="false">
      <c r="A2221" s="1" t="s">
        <v>30</v>
      </c>
      <c r="B2221" s="1" t="s">
        <v>30</v>
      </c>
      <c r="C2221" s="1" t="n">
        <v>36</v>
      </c>
      <c r="D2221" s="1" t="s">
        <v>5754</v>
      </c>
      <c r="E2221" s="1" t="s">
        <v>5755</v>
      </c>
      <c r="J2221" s="1" t="s">
        <v>5756</v>
      </c>
      <c r="K2221" s="1" t="n">
        <f aca="false">IF(Search!$D$5="",0,IF(AND(OR(Search!$N$5="",ISNUMBER(SEARCH(Search!$N$5,J2221))),OR(Search!$N$6="",ISNUMBER(SEARCH(Search!$N$6,J2221))),OR(Search!$N$7="",ISNUMBER(SEARCH(Search!$N$7,J2221))),OR(Search!$N$8="",ISNUMBER(SEARCH(Search!$N$8,J2221)))),1,0))</f>
        <v>0</v>
      </c>
      <c r="L2221" s="1" t="n">
        <f aca="false">L2220+K2221</f>
        <v>0</v>
      </c>
    </row>
    <row r="2222" customFormat="false" ht="15" hidden="false" customHeight="true" outlineLevel="0" collapsed="false">
      <c r="A2222" s="1" t="s">
        <v>30</v>
      </c>
      <c r="B2222" s="1" t="s">
        <v>30</v>
      </c>
      <c r="C2222" s="1" t="n">
        <v>53</v>
      </c>
      <c r="D2222" s="1" t="s">
        <v>5757</v>
      </c>
      <c r="E2222" s="1" t="s">
        <v>5758</v>
      </c>
      <c r="J2222" s="1" t="s">
        <v>5759</v>
      </c>
      <c r="K2222" s="1" t="n">
        <f aca="false">IF(Search!$D$5="",0,IF(AND(OR(Search!$N$5="",ISNUMBER(SEARCH(Search!$N$5,J2222))),OR(Search!$N$6="",ISNUMBER(SEARCH(Search!$N$6,J2222))),OR(Search!$N$7="",ISNUMBER(SEARCH(Search!$N$7,J2222))),OR(Search!$N$8="",ISNUMBER(SEARCH(Search!$N$8,J2222)))),1,0))</f>
        <v>0</v>
      </c>
      <c r="L2222" s="1" t="n">
        <f aca="false">L2221+K2222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H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8" min="3" style="1" width="1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45" hidden="false" customHeight="true" outlineLevel="0" collapsed="false">
      <c r="A2" s="2"/>
      <c r="B2" s="47" t="s">
        <v>230</v>
      </c>
      <c r="C2" s="47"/>
      <c r="D2" s="47"/>
      <c r="E2" s="47"/>
      <c r="F2" s="47"/>
      <c r="G2" s="47"/>
      <c r="H2" s="47"/>
    </row>
    <row r="3" customFormat="false" ht="60" hidden="false" customHeight="true" outlineLevel="0" collapsed="false">
      <c r="A3" s="2"/>
      <c r="B3" s="4" t="s">
        <v>231</v>
      </c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30" hidden="false" customHeight="true" outlineLevel="0" collapsed="false">
      <c r="A5" s="2"/>
      <c r="B5" s="48" t="s">
        <v>232</v>
      </c>
      <c r="C5" s="48"/>
      <c r="D5" s="48"/>
      <c r="E5" s="48"/>
      <c r="F5" s="48"/>
      <c r="G5" s="48"/>
      <c r="H5" s="48"/>
    </row>
    <row r="6" customFormat="false" ht="30" hidden="false" customHeight="true" outlineLevel="0" collapsed="false">
      <c r="A6" s="2"/>
      <c r="B6" s="49" t="s">
        <v>233</v>
      </c>
      <c r="C6" s="50" t="s">
        <v>234</v>
      </c>
      <c r="D6" s="50"/>
      <c r="E6" s="50"/>
      <c r="F6" s="50"/>
      <c r="G6" s="50"/>
      <c r="H6" s="50"/>
    </row>
    <row r="7" customFormat="false" ht="45" hidden="false" customHeight="true" outlineLevel="0" collapsed="false">
      <c r="A7" s="2"/>
      <c r="B7" s="51" t="s">
        <v>19</v>
      </c>
      <c r="C7" s="52" t="s">
        <v>236</v>
      </c>
      <c r="D7" s="52"/>
      <c r="E7" s="52"/>
      <c r="F7" s="52"/>
      <c r="G7" s="52"/>
      <c r="H7" s="52"/>
    </row>
    <row r="8" customFormat="false" ht="30" hidden="false" customHeight="true" outlineLevel="0" collapsed="false">
      <c r="A8" s="2"/>
      <c r="B8" s="51" t="s">
        <v>20</v>
      </c>
      <c r="C8" s="52" t="s">
        <v>238</v>
      </c>
      <c r="D8" s="52"/>
      <c r="E8" s="52"/>
      <c r="F8" s="52"/>
      <c r="G8" s="52"/>
      <c r="H8" s="52"/>
    </row>
    <row r="9" customFormat="false" ht="30" hidden="false" customHeight="true" outlineLevel="0" collapsed="false">
      <c r="A9" s="2"/>
      <c r="B9" s="51" t="s">
        <v>21</v>
      </c>
      <c r="C9" s="52" t="s">
        <v>240</v>
      </c>
      <c r="D9" s="52"/>
      <c r="E9" s="52"/>
      <c r="F9" s="52"/>
      <c r="G9" s="52"/>
      <c r="H9" s="52"/>
    </row>
    <row r="10" customFormat="false" ht="30" hidden="false" customHeight="true" outlineLevel="0" collapsed="false">
      <c r="A10" s="2"/>
      <c r="B10" s="51" t="s">
        <v>22</v>
      </c>
      <c r="C10" s="52" t="s">
        <v>242</v>
      </c>
      <c r="D10" s="52"/>
      <c r="E10" s="52"/>
      <c r="F10" s="52"/>
      <c r="G10" s="52"/>
      <c r="H10" s="52"/>
    </row>
    <row r="11" customFormat="false" ht="30" hidden="false" customHeight="true" outlineLevel="0" collapsed="false">
      <c r="A11" s="2"/>
      <c r="B11" s="51" t="s">
        <v>23</v>
      </c>
      <c r="C11" s="52" t="s">
        <v>244</v>
      </c>
      <c r="D11" s="52"/>
      <c r="E11" s="52"/>
      <c r="F11" s="52"/>
      <c r="G11" s="52"/>
      <c r="H11" s="52"/>
    </row>
    <row r="12" customFormat="false" ht="45" hidden="false" customHeight="true" outlineLevel="0" collapsed="false">
      <c r="A12" s="2"/>
      <c r="B12" s="51" t="s">
        <v>24</v>
      </c>
      <c r="C12" s="52" t="s">
        <v>246</v>
      </c>
      <c r="D12" s="52"/>
      <c r="E12" s="52"/>
      <c r="F12" s="52"/>
      <c r="G12" s="52"/>
      <c r="H12" s="5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30" hidden="false" customHeight="true" outlineLevel="0" collapsed="false">
      <c r="A14" s="2"/>
      <c r="B14" s="53" t="s">
        <v>248</v>
      </c>
      <c r="C14" s="53"/>
      <c r="D14" s="53"/>
      <c r="E14" s="53"/>
      <c r="F14" s="53"/>
      <c r="G14" s="53"/>
      <c r="H14" s="53"/>
    </row>
    <row r="15" customFormat="false" ht="30" hidden="false" customHeight="true" outlineLevel="0" collapsed="false">
      <c r="A15" s="2"/>
      <c r="B15" s="49" t="s">
        <v>233</v>
      </c>
      <c r="C15" s="50" t="s">
        <v>234</v>
      </c>
      <c r="D15" s="50"/>
      <c r="E15" s="50"/>
      <c r="F15" s="50"/>
      <c r="G15" s="50"/>
      <c r="H15" s="50"/>
    </row>
    <row r="16" customFormat="false" ht="45" hidden="false" customHeight="true" outlineLevel="0" collapsed="false">
      <c r="A16" s="2"/>
      <c r="B16" s="51" t="s">
        <v>25</v>
      </c>
      <c r="C16" s="52" t="s">
        <v>249</v>
      </c>
      <c r="D16" s="52"/>
      <c r="E16" s="52"/>
      <c r="F16" s="52"/>
      <c r="G16" s="52"/>
      <c r="H16" s="52"/>
    </row>
    <row r="17" customFormat="false" ht="45" hidden="false" customHeight="true" outlineLevel="0" collapsed="false">
      <c r="A17" s="2"/>
      <c r="B17" s="51" t="s">
        <v>26</v>
      </c>
      <c r="C17" s="52" t="s">
        <v>251</v>
      </c>
      <c r="D17" s="52"/>
      <c r="E17" s="52"/>
      <c r="F17" s="52"/>
      <c r="G17" s="52"/>
      <c r="H17" s="52"/>
    </row>
    <row r="18" customFormat="false" ht="30" hidden="false" customHeight="true" outlineLevel="0" collapsed="false">
      <c r="A18" s="2"/>
      <c r="B18" s="51" t="s">
        <v>27</v>
      </c>
      <c r="C18" s="52" t="s">
        <v>253</v>
      </c>
      <c r="D18" s="52"/>
      <c r="E18" s="52"/>
      <c r="F18" s="52"/>
      <c r="G18" s="52"/>
      <c r="H18" s="52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</row>
    <row r="20" customFormat="false" ht="30" hidden="false" customHeight="true" outlineLevel="0" collapsed="false">
      <c r="A20" s="2"/>
      <c r="B20" s="54" t="s">
        <v>255</v>
      </c>
      <c r="C20" s="54"/>
      <c r="D20" s="54"/>
      <c r="E20" s="54"/>
      <c r="F20" s="54"/>
      <c r="G20" s="54"/>
      <c r="H20" s="54"/>
    </row>
    <row r="21" customFormat="false" ht="30" hidden="false" customHeight="true" outlineLevel="0" collapsed="false">
      <c r="A21" s="2"/>
      <c r="B21" s="49" t="s">
        <v>233</v>
      </c>
      <c r="C21" s="50" t="s">
        <v>234</v>
      </c>
      <c r="D21" s="50"/>
      <c r="E21" s="50"/>
      <c r="F21" s="50"/>
      <c r="G21" s="50"/>
      <c r="H21" s="50"/>
    </row>
    <row r="22" customFormat="false" ht="45" hidden="false" customHeight="true" outlineLevel="0" collapsed="false">
      <c r="A22" s="2"/>
      <c r="B22" s="51" t="s">
        <v>28</v>
      </c>
      <c r="C22" s="52" t="s">
        <v>256</v>
      </c>
      <c r="D22" s="52"/>
      <c r="E22" s="52"/>
      <c r="F22" s="52"/>
      <c r="G22" s="52"/>
      <c r="H22" s="52"/>
    </row>
    <row r="23" customFormat="false" ht="45" hidden="false" customHeight="true" outlineLevel="0" collapsed="false">
      <c r="A23" s="2"/>
      <c r="B23" s="51" t="s">
        <v>258</v>
      </c>
      <c r="C23" s="52" t="s">
        <v>259</v>
      </c>
      <c r="D23" s="52"/>
      <c r="E23" s="52"/>
      <c r="F23" s="52"/>
      <c r="G23" s="52"/>
      <c r="H23" s="52"/>
    </row>
    <row r="24" customFormat="false" ht="30" hidden="false" customHeight="true" outlineLevel="0" collapsed="false">
      <c r="A24" s="2"/>
      <c r="B24" s="51" t="s">
        <v>261</v>
      </c>
      <c r="C24" s="52" t="s">
        <v>262</v>
      </c>
      <c r="D24" s="52"/>
      <c r="E24" s="52"/>
      <c r="F24" s="52"/>
      <c r="G24" s="52"/>
      <c r="H24" s="52"/>
    </row>
    <row r="25" customFormat="false" ht="30" hidden="false" customHeight="true" outlineLevel="0" collapsed="false">
      <c r="A25" s="2"/>
      <c r="B25" s="51" t="s">
        <v>264</v>
      </c>
      <c r="C25" s="52" t="s">
        <v>265</v>
      </c>
      <c r="D25" s="52"/>
      <c r="E25" s="52"/>
      <c r="F25" s="52"/>
      <c r="G25" s="52"/>
      <c r="H25" s="52"/>
    </row>
    <row r="26" customFormat="false" ht="30" hidden="false" customHeight="true" outlineLevel="0" collapsed="false">
      <c r="A26" s="2"/>
      <c r="B26" s="51" t="s">
        <v>267</v>
      </c>
      <c r="C26" s="52" t="s">
        <v>268</v>
      </c>
      <c r="D26" s="52"/>
      <c r="E26" s="52"/>
      <c r="F26" s="52"/>
      <c r="G26" s="52"/>
      <c r="H26" s="52"/>
    </row>
    <row r="27" customFormat="false" ht="15" hidden="false" customHeight="true" outlineLevel="0" collapsed="false">
      <c r="A27" s="2"/>
      <c r="B27" s="2"/>
      <c r="C27" s="2"/>
      <c r="D27" s="2"/>
      <c r="E27" s="2"/>
      <c r="F27" s="2"/>
      <c r="G27" s="2"/>
      <c r="H27" s="2"/>
    </row>
    <row r="28" customFormat="false" ht="30" hidden="false" customHeight="true" outlineLevel="0" collapsed="false">
      <c r="A28" s="2"/>
      <c r="B28" s="55" t="s">
        <v>270</v>
      </c>
      <c r="C28" s="55"/>
      <c r="D28" s="55"/>
      <c r="E28" s="55"/>
      <c r="F28" s="55"/>
      <c r="G28" s="55"/>
      <c r="H28" s="55"/>
    </row>
    <row r="29" customFormat="false" ht="30" hidden="false" customHeight="true" outlineLevel="0" collapsed="false">
      <c r="A29" s="2"/>
      <c r="B29" s="49" t="s">
        <v>233</v>
      </c>
      <c r="C29" s="50" t="s">
        <v>234</v>
      </c>
      <c r="D29" s="50"/>
      <c r="E29" s="50"/>
      <c r="F29" s="50"/>
      <c r="G29" s="50"/>
      <c r="H29" s="50"/>
    </row>
    <row r="30" customFormat="false" ht="30" hidden="false" customHeight="true" outlineLevel="0" collapsed="false">
      <c r="A30" s="2"/>
      <c r="B30" s="51" t="s">
        <v>29</v>
      </c>
      <c r="C30" s="52" t="s">
        <v>271</v>
      </c>
      <c r="D30" s="52"/>
      <c r="E30" s="52"/>
      <c r="F30" s="52"/>
      <c r="G30" s="52"/>
      <c r="H30" s="52"/>
    </row>
    <row r="31" customFormat="false" ht="30" hidden="false" customHeight="true" outlineLevel="0" collapsed="false">
      <c r="A31" s="2"/>
      <c r="B31" s="51" t="s">
        <v>273</v>
      </c>
      <c r="C31" s="52" t="s">
        <v>274</v>
      </c>
      <c r="D31" s="52"/>
      <c r="E31" s="52"/>
      <c r="F31" s="52"/>
      <c r="G31" s="52"/>
      <c r="H31" s="52"/>
    </row>
    <row r="32" customFormat="false" ht="30" hidden="false" customHeight="true" outlineLevel="0" collapsed="false">
      <c r="A32" s="2"/>
      <c r="B32" s="51" t="s">
        <v>276</v>
      </c>
      <c r="C32" s="52" t="s">
        <v>277</v>
      </c>
      <c r="D32" s="52"/>
      <c r="E32" s="52"/>
      <c r="F32" s="52"/>
      <c r="G32" s="52"/>
      <c r="H32" s="52"/>
    </row>
    <row r="33" customFormat="false" ht="30" hidden="false" customHeight="true" outlineLevel="0" collapsed="false">
      <c r="A33" s="2"/>
      <c r="B33" s="51" t="s">
        <v>279</v>
      </c>
      <c r="C33" s="52" t="s">
        <v>280</v>
      </c>
      <c r="D33" s="52"/>
      <c r="E33" s="52"/>
      <c r="F33" s="52"/>
      <c r="G33" s="52"/>
      <c r="H33" s="52"/>
    </row>
    <row r="34" customFormat="false" ht="30" hidden="false" customHeight="true" outlineLevel="0" collapsed="false">
      <c r="A34" s="2"/>
      <c r="B34" s="51" t="s">
        <v>282</v>
      </c>
      <c r="C34" s="52" t="s">
        <v>283</v>
      </c>
      <c r="D34" s="52"/>
      <c r="E34" s="52"/>
      <c r="F34" s="52"/>
      <c r="G34" s="52"/>
      <c r="H34" s="52"/>
    </row>
    <row r="35" customFormat="false" ht="18" hidden="false" customHeight="true" outlineLevel="0" collapsed="false">
      <c r="A35" s="2"/>
      <c r="B35" s="51" t="s">
        <v>285</v>
      </c>
      <c r="C35" s="52" t="s">
        <v>286</v>
      </c>
      <c r="D35" s="52"/>
      <c r="E35" s="52"/>
      <c r="F35" s="52"/>
      <c r="G35" s="52"/>
      <c r="H35" s="52"/>
    </row>
    <row r="36" customFormat="false" ht="45" hidden="false" customHeight="true" outlineLevel="0" collapsed="false">
      <c r="A36" s="2"/>
      <c r="B36" s="51" t="s">
        <v>288</v>
      </c>
      <c r="C36" s="52" t="s">
        <v>289</v>
      </c>
      <c r="D36" s="52"/>
      <c r="E36" s="52"/>
      <c r="F36" s="52"/>
      <c r="G36" s="52"/>
      <c r="H36" s="52"/>
    </row>
    <row r="37" customFormat="false" ht="30" hidden="false" customHeight="true" outlineLevel="0" collapsed="false">
      <c r="A37" s="2"/>
      <c r="B37" s="51" t="s">
        <v>291</v>
      </c>
      <c r="C37" s="52" t="s">
        <v>292</v>
      </c>
      <c r="D37" s="52"/>
      <c r="E37" s="52"/>
      <c r="F37" s="52"/>
      <c r="G37" s="52"/>
      <c r="H37" s="52"/>
    </row>
    <row r="38" customFormat="false" ht="30" hidden="false" customHeight="true" outlineLevel="0" collapsed="false">
      <c r="A38" s="2"/>
      <c r="B38" s="51" t="s">
        <v>294</v>
      </c>
      <c r="C38" s="52" t="s">
        <v>295</v>
      </c>
      <c r="D38" s="52"/>
      <c r="E38" s="52"/>
      <c r="F38" s="52"/>
      <c r="G38" s="52"/>
      <c r="H38" s="52"/>
    </row>
    <row r="39" customFormat="false" ht="18" hidden="false" customHeight="true" outlineLevel="0" collapsed="false">
      <c r="A39" s="2"/>
      <c r="B39" s="51" t="s">
        <v>297</v>
      </c>
      <c r="C39" s="52" t="s">
        <v>298</v>
      </c>
      <c r="D39" s="52"/>
      <c r="E39" s="52"/>
      <c r="F39" s="52"/>
      <c r="G39" s="52"/>
      <c r="H39" s="52"/>
    </row>
    <row r="40" customFormat="false" ht="30" hidden="false" customHeight="true" outlineLevel="0" collapsed="false">
      <c r="A40" s="2"/>
      <c r="B40" s="51" t="s">
        <v>300</v>
      </c>
      <c r="C40" s="52" t="s">
        <v>301</v>
      </c>
      <c r="D40" s="52"/>
      <c r="E40" s="52"/>
      <c r="F40" s="52"/>
      <c r="G40" s="52"/>
      <c r="H40" s="52"/>
    </row>
    <row r="41" customFormat="false" ht="30" hidden="false" customHeight="true" outlineLevel="0" collapsed="false">
      <c r="A41" s="2"/>
      <c r="B41" s="51" t="s">
        <v>303</v>
      </c>
      <c r="C41" s="52" t="s">
        <v>304</v>
      </c>
      <c r="D41" s="52"/>
      <c r="E41" s="52"/>
      <c r="F41" s="52"/>
      <c r="G41" s="52"/>
      <c r="H41" s="52"/>
    </row>
    <row r="42" customFormat="false" ht="30" hidden="false" customHeight="true" outlineLevel="0" collapsed="false">
      <c r="A42" s="2"/>
      <c r="B42" s="51" t="s">
        <v>306</v>
      </c>
      <c r="C42" s="52" t="s">
        <v>307</v>
      </c>
      <c r="D42" s="52"/>
      <c r="E42" s="52"/>
      <c r="F42" s="52"/>
      <c r="G42" s="52"/>
      <c r="H42" s="52"/>
    </row>
    <row r="43" customFormat="false" ht="30" hidden="false" customHeight="true" outlineLevel="0" collapsed="false">
      <c r="A43" s="2"/>
      <c r="B43" s="51" t="s">
        <v>309</v>
      </c>
      <c r="C43" s="52" t="s">
        <v>310</v>
      </c>
      <c r="D43" s="52"/>
      <c r="E43" s="52"/>
      <c r="F43" s="52"/>
      <c r="G43" s="52"/>
      <c r="H43" s="52"/>
    </row>
    <row r="44" customFormat="false" ht="30" hidden="false" customHeight="true" outlineLevel="0" collapsed="false">
      <c r="A44" s="2"/>
      <c r="B44" s="51" t="s">
        <v>312</v>
      </c>
      <c r="C44" s="52" t="s">
        <v>313</v>
      </c>
      <c r="D44" s="52"/>
      <c r="E44" s="52"/>
      <c r="F44" s="52"/>
      <c r="G44" s="52"/>
      <c r="H44" s="52"/>
    </row>
    <row r="45" customFormat="false" ht="45" hidden="false" customHeight="true" outlineLevel="0" collapsed="false">
      <c r="A45" s="2"/>
      <c r="B45" s="51" t="s">
        <v>315</v>
      </c>
      <c r="C45" s="52" t="s">
        <v>316</v>
      </c>
      <c r="D45" s="52"/>
      <c r="E45" s="52"/>
      <c r="F45" s="52"/>
      <c r="G45" s="52"/>
      <c r="H45" s="5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</row>
    <row r="47" customFormat="false" ht="30" hidden="false" customHeight="true" outlineLevel="0" collapsed="false">
      <c r="A47" s="2"/>
      <c r="B47" s="56" t="s">
        <v>318</v>
      </c>
      <c r="C47" s="56"/>
      <c r="D47" s="56"/>
      <c r="E47" s="56"/>
      <c r="F47" s="56"/>
      <c r="G47" s="56"/>
      <c r="H47" s="56"/>
    </row>
    <row r="48" customFormat="false" ht="30" hidden="false" customHeight="true" outlineLevel="0" collapsed="false">
      <c r="A48" s="2"/>
      <c r="B48" s="49" t="s">
        <v>233</v>
      </c>
      <c r="C48" s="50" t="s">
        <v>234</v>
      </c>
      <c r="D48" s="50"/>
      <c r="E48" s="50"/>
      <c r="F48" s="50"/>
      <c r="G48" s="50"/>
      <c r="H48" s="50"/>
    </row>
    <row r="49" customFormat="false" ht="45" hidden="false" customHeight="true" outlineLevel="0" collapsed="false">
      <c r="A49" s="2"/>
      <c r="B49" s="51" t="s">
        <v>31</v>
      </c>
      <c r="C49" s="52" t="s">
        <v>319</v>
      </c>
      <c r="D49" s="52"/>
      <c r="E49" s="52"/>
      <c r="F49" s="52"/>
      <c r="G49" s="52"/>
      <c r="H49" s="52"/>
    </row>
    <row r="50" customFormat="false" ht="45" hidden="false" customHeight="true" outlineLevel="0" collapsed="false">
      <c r="A50" s="2"/>
      <c r="B50" s="51" t="s">
        <v>32</v>
      </c>
      <c r="C50" s="52" t="s">
        <v>321</v>
      </c>
      <c r="D50" s="52"/>
      <c r="E50" s="52"/>
      <c r="F50" s="52"/>
      <c r="G50" s="52"/>
      <c r="H50" s="52"/>
    </row>
    <row r="51" customFormat="false" ht="45" hidden="false" customHeight="true" outlineLevel="0" collapsed="false">
      <c r="A51" s="2"/>
      <c r="B51" s="51" t="s">
        <v>33</v>
      </c>
      <c r="C51" s="52" t="s">
        <v>323</v>
      </c>
      <c r="D51" s="52"/>
      <c r="E51" s="52"/>
      <c r="F51" s="52"/>
      <c r="G51" s="52"/>
      <c r="H51" s="52"/>
    </row>
    <row r="52" customFormat="false" ht="45" hidden="false" customHeight="true" outlineLevel="0" collapsed="false">
      <c r="A52" s="2"/>
      <c r="B52" s="57" t="s">
        <v>325</v>
      </c>
      <c r="C52" s="52" t="s">
        <v>326</v>
      </c>
      <c r="D52" s="52"/>
      <c r="E52" s="52"/>
      <c r="F52" s="52"/>
      <c r="G52" s="52"/>
      <c r="H52" s="52"/>
    </row>
    <row r="53" customFormat="false" ht="60" hidden="false" customHeight="true" outlineLevel="0" collapsed="false">
      <c r="A53" s="2"/>
      <c r="B53" s="57" t="s">
        <v>328</v>
      </c>
      <c r="C53" s="58" t="s">
        <v>329</v>
      </c>
      <c r="D53" s="58"/>
      <c r="E53" s="58"/>
      <c r="F53" s="58"/>
      <c r="G53" s="58"/>
      <c r="H53" s="58"/>
    </row>
    <row r="54" customFormat="false" ht="60" hidden="false" customHeight="true" outlineLevel="0" collapsed="false">
      <c r="A54" s="2"/>
      <c r="B54" s="57" t="s">
        <v>331</v>
      </c>
      <c r="C54" s="58" t="s">
        <v>332</v>
      </c>
      <c r="D54" s="58"/>
      <c r="E54" s="58"/>
      <c r="F54" s="58"/>
      <c r="G54" s="58"/>
      <c r="H54" s="58"/>
    </row>
    <row r="55" customFormat="false" ht="45" hidden="false" customHeight="true" outlineLevel="0" collapsed="false">
      <c r="A55" s="2"/>
      <c r="B55" s="57" t="s">
        <v>334</v>
      </c>
      <c r="C55" s="58" t="s">
        <v>335</v>
      </c>
      <c r="D55" s="58"/>
      <c r="E55" s="58"/>
      <c r="F55" s="58"/>
      <c r="G55" s="58"/>
      <c r="H55" s="58"/>
    </row>
    <row r="56" customFormat="false" ht="60" hidden="false" customHeight="true" outlineLevel="0" collapsed="false">
      <c r="A56" s="2"/>
      <c r="B56" s="57" t="s">
        <v>337</v>
      </c>
      <c r="C56" s="58" t="s">
        <v>338</v>
      </c>
      <c r="D56" s="58"/>
      <c r="E56" s="58"/>
      <c r="F56" s="58"/>
      <c r="G56" s="58"/>
      <c r="H56" s="58"/>
    </row>
    <row r="57" customFormat="false" ht="60" hidden="false" customHeight="true" outlineLevel="0" collapsed="false">
      <c r="A57" s="2"/>
      <c r="B57" s="57" t="s">
        <v>340</v>
      </c>
      <c r="C57" s="58" t="s">
        <v>341</v>
      </c>
      <c r="D57" s="58"/>
      <c r="E57" s="58"/>
      <c r="F57" s="58"/>
      <c r="G57" s="58"/>
      <c r="H57" s="58"/>
    </row>
    <row r="58" customFormat="false" ht="45" hidden="false" customHeight="true" outlineLevel="0" collapsed="false">
      <c r="A58" s="2"/>
      <c r="B58" s="57" t="s">
        <v>343</v>
      </c>
      <c r="C58" s="58" t="s">
        <v>344</v>
      </c>
      <c r="D58" s="58"/>
      <c r="E58" s="58"/>
      <c r="F58" s="58"/>
      <c r="G58" s="58"/>
      <c r="H58" s="58"/>
    </row>
    <row r="59" customFormat="false" ht="45" hidden="false" customHeight="true" outlineLevel="0" collapsed="false">
      <c r="A59" s="2"/>
      <c r="B59" s="51" t="s">
        <v>346</v>
      </c>
      <c r="C59" s="52" t="s">
        <v>347</v>
      </c>
      <c r="D59" s="59"/>
      <c r="E59" s="59"/>
      <c r="F59" s="59"/>
      <c r="G59" s="59"/>
      <c r="H59" s="59"/>
    </row>
    <row r="60" customFormat="false" ht="34.5" hidden="false" customHeight="true" outlineLevel="0" collapsed="false">
      <c r="A60" s="2"/>
      <c r="B60" s="51" t="s">
        <v>349</v>
      </c>
      <c r="C60" s="52" t="s">
        <v>350</v>
      </c>
      <c r="D60" s="59"/>
      <c r="E60" s="59"/>
      <c r="F60" s="59"/>
      <c r="G60" s="59"/>
      <c r="H60" s="59"/>
    </row>
    <row r="61" customFormat="false" ht="30" hidden="false" customHeight="true" outlineLevel="0" collapsed="false">
      <c r="A61" s="2"/>
      <c r="B61" s="51" t="s">
        <v>34</v>
      </c>
      <c r="C61" s="52" t="s">
        <v>352</v>
      </c>
      <c r="D61" s="59"/>
      <c r="E61" s="59"/>
      <c r="F61" s="59"/>
      <c r="G61" s="59"/>
      <c r="H61" s="59"/>
    </row>
    <row r="62" customFormat="false" ht="15" hidden="false" customHeight="true" outlineLevel="0" collapsed="false">
      <c r="A62" s="2"/>
      <c r="B62" s="2"/>
      <c r="C62" s="2"/>
      <c r="D62" s="2"/>
      <c r="E62" s="2"/>
      <c r="F62" s="2"/>
      <c r="G62" s="2"/>
      <c r="H62" s="2"/>
    </row>
    <row r="63" customFormat="false" ht="15" hidden="false" customHeight="true" outlineLevel="0" collapsed="false">
      <c r="A63" s="2"/>
      <c r="B63" s="2"/>
      <c r="C63" s="2"/>
      <c r="D63" s="2"/>
      <c r="E63" s="2"/>
      <c r="F63" s="2"/>
      <c r="G63" s="2"/>
      <c r="H63" s="2"/>
    </row>
    <row r="64" customFormat="false" ht="18" hidden="false" customHeight="true" outlineLevel="0" collapsed="false">
      <c r="A64" s="2"/>
      <c r="B64" s="60" t="s">
        <v>354</v>
      </c>
      <c r="C64" s="2"/>
      <c r="D64" s="2"/>
      <c r="E64" s="2"/>
      <c r="F64" s="2"/>
      <c r="G64" s="2"/>
      <c r="H64" s="2"/>
    </row>
  </sheetData>
  <mergeCells count="52">
    <mergeCell ref="B2:H2"/>
    <mergeCell ref="B3:H3"/>
    <mergeCell ref="B5:H5"/>
    <mergeCell ref="C6:H6"/>
    <mergeCell ref="C7:H7"/>
    <mergeCell ref="C8:H8"/>
    <mergeCell ref="C9:H9"/>
    <mergeCell ref="C10:H10"/>
    <mergeCell ref="C11:H11"/>
    <mergeCell ref="C12:H12"/>
    <mergeCell ref="B14:H14"/>
    <mergeCell ref="C15:H15"/>
    <mergeCell ref="C16:H16"/>
    <mergeCell ref="C17:H17"/>
    <mergeCell ref="C18:H18"/>
    <mergeCell ref="B20:H20"/>
    <mergeCell ref="C21:H21"/>
    <mergeCell ref="C22:H22"/>
    <mergeCell ref="C23:H23"/>
    <mergeCell ref="C24:H24"/>
    <mergeCell ref="C25:H25"/>
    <mergeCell ref="C26:H26"/>
    <mergeCell ref="B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B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</mergeCells>
  <hyperlinks>
    <hyperlink ref="B7" location="'Overview'!A1" display="Overview"/>
    <hyperlink ref="B8" location="'Yield Strength'!A1" display="Yield Strength"/>
    <hyperlink ref="B9" location="'Tensile Strength'!A1" display="Tensile Strength"/>
    <hyperlink ref="B10" location="'Impact Properties'!A1" display="Impact Properties"/>
    <hyperlink ref="B11" location="'Grade Comparison'!A1" display="Grade Comparison"/>
    <hyperlink ref="B12" location="'Weldability'!A1" display="Weldability"/>
    <hyperlink ref="B16" location="'Cross-Material Strength'!A1" display="Cross-Material Strength"/>
    <hyperlink ref="B17" location="'Strength-to-Weight'!A1" display="Strength-to-Weight"/>
    <hyperlink ref="B18" location="'Design Standards'!A1" display="Design Standards"/>
    <hyperlink ref="B22" location="'SS Catalogue (TSA)'!A1" display="SS Catalogue (TSA)"/>
    <hyperlink ref="B23" location="'SS SQ Tube'!A1" display="SS SQ Tube"/>
    <hyperlink ref="B24" location="'SS RHS Tube'!A1" display="SS RHS Tube"/>
    <hyperlink ref="B25" location="'SS Slotted Tube'!A1" display="SS Slotted Tube"/>
    <hyperlink ref="B26" location="'SS Round Tube'!A1" display="SS Round Tube"/>
    <hyperlink ref="B30" location="'MS Catalogue (JYF)'!A1" display="MS Catalogue (JYF)"/>
    <hyperlink ref="B31" location="'MS Shipbuild Flat'!A1" display="MS Shipbuild Flat"/>
    <hyperlink ref="B32" location="'MS Equal Angles'!A1" display="MS Equal Angles"/>
    <hyperlink ref="B33" location="'MS Unequal Angles'!A1" display="MS Unequal Angles"/>
    <hyperlink ref="B34" location="'MS Lipped Channel'!A1" display="MS Lipped Channel"/>
    <hyperlink ref="B35" location="'MS Plain Channel'!A1" display="MS Plain Channel"/>
    <hyperlink ref="B36" location="'MS Carbon Pipe'!A1" display="MS Carbon Pipe"/>
    <hyperlink ref="B37" location="'MS Welded Pipe'!A1" display="MS Welded Pipe"/>
    <hyperlink ref="B38" location="'MS HR Plates'!A1" display="MS HR Plates"/>
    <hyperlink ref="B39" location="'MS Chequered Plate'!A1" display="MS Chequered Plate"/>
    <hyperlink ref="B40" location="'MS SHS'!A1" display="MS SHS"/>
    <hyperlink ref="B41" location="'MS RHS'!A1" display="MS RHS"/>
    <hyperlink ref="B42" location="'MS Bar Sections'!A1" display="MS Bar Sections"/>
    <hyperlink ref="B43" location="'MS Channel &amp; Rebar'!A1" display="MS Channel &amp; Rebar"/>
    <hyperlink ref="B44" location="'MS Wide Flange'!A1" display="MS Wide Flange"/>
    <hyperlink ref="B45" location="'MS Galv Sheets'!A1" display="MS Galv Sheets"/>
    <hyperlink ref="B49" location="'Weight Calculator'!A1" display="Weight Calculator"/>
    <hyperlink ref="B50" location="'Cost Estimator'!A1" display="Cost Estimator"/>
    <hyperlink ref="B51" location="'Equiv Section Finder'!A1" display="Equiv Section Finder"/>
    <hyperlink ref="B52" location="'Fischer FBN II'!A1" display="Fischer FBN II"/>
    <hyperlink ref="B53" location="'Platform Load Calc'!A1" display="Fischer FAZ II"/>
    <hyperlink ref="B54" location="'Unit Conversions'!A1" display="Fischer FIS V"/>
    <hyperlink ref="B55" location="'Glossary'!A1" display="Fischer FH II"/>
    <hyperlink ref="B56" location="'Fischer FHB II'!A1" display="Fischer FHB II"/>
    <hyperlink ref="B57" location="'Fischer FZA Zykon'!A1" display="Fischer FZA Zykon"/>
    <hyperlink ref="B58" location="'Fischer Nylon &amp; Misc'!A1" display="Fischer Nylon &amp; Mis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2"/>
    <col collapsed="false" customWidth="true" hidden="false" outlineLevel="0" max="4" min="4" style="1" width="14"/>
    <col collapsed="false" customWidth="true" hidden="false" outlineLevel="0" max="5" min="5" style="1" width="2"/>
    <col collapsed="false" customWidth="true" hidden="false" outlineLevel="0" max="6" min="6" style="1" width="14"/>
    <col collapsed="false" customWidth="true" hidden="false" outlineLevel="0" max="7" min="7" style="1" width="2"/>
    <col collapsed="false" customWidth="true" hidden="false" outlineLevel="0" max="8" min="8" style="1" width="14"/>
    <col collapsed="false" customWidth="true" hidden="false" outlineLevel="0" max="9" min="9" style="1" width="2"/>
    <col collapsed="false" customWidth="true" hidden="false" outlineLevel="0" max="10" min="10" style="1" width="14"/>
    <col collapsed="false" customWidth="true" hidden="false" outlineLevel="0" max="11" min="11" style="1" width="2"/>
    <col collapsed="false" customWidth="true" hidden="false" outlineLevel="0" max="12" min="12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61" t="s">
        <v>356</v>
      </c>
      <c r="C2" s="61"/>
      <c r="D2" s="61"/>
      <c r="E2" s="61"/>
      <c r="F2" s="61"/>
      <c r="G2" s="61"/>
      <c r="H2" s="61"/>
      <c r="I2" s="61"/>
      <c r="J2" s="61"/>
      <c r="K2" s="61"/>
      <c r="L2" s="2"/>
    </row>
    <row r="3" customFormat="false" ht="90" hidden="false" customHeight="true" outlineLevel="0" collapsed="false">
      <c r="A3" s="2"/>
      <c r="B3" s="62" t="s">
        <v>357</v>
      </c>
      <c r="C3" s="62"/>
      <c r="D3" s="62"/>
      <c r="E3" s="62"/>
      <c r="F3" s="62"/>
      <c r="G3" s="62"/>
      <c r="H3" s="62"/>
      <c r="I3" s="62"/>
      <c r="J3" s="62"/>
      <c r="K3" s="62"/>
      <c r="L3" s="2"/>
    </row>
    <row r="4" customFormat="false" ht="9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30" hidden="false" customHeight="true" outlineLevel="0" collapsed="false">
      <c r="A5" s="2"/>
      <c r="B5" s="63" t="s">
        <v>358</v>
      </c>
      <c r="C5" s="2"/>
      <c r="D5" s="64" t="s">
        <v>359</v>
      </c>
      <c r="E5" s="2"/>
      <c r="F5" s="65" t="s">
        <v>360</v>
      </c>
      <c r="G5" s="2"/>
      <c r="H5" s="66" t="s">
        <v>396</v>
      </c>
      <c r="I5" s="2"/>
      <c r="J5" s="67" t="s">
        <v>648</v>
      </c>
      <c r="K5" s="2"/>
      <c r="L5" s="68" t="s">
        <v>653</v>
      </c>
    </row>
    <row r="6" customFormat="false" ht="31.5" hidden="false" customHeight="true" outlineLevel="0" collapsed="false">
      <c r="A6" s="2"/>
      <c r="B6" s="69" t="s">
        <v>362</v>
      </c>
      <c r="C6" s="2"/>
      <c r="D6" s="69" t="s">
        <v>362</v>
      </c>
      <c r="E6" s="2"/>
      <c r="F6" s="69" t="s">
        <v>362</v>
      </c>
      <c r="G6" s="2"/>
      <c r="H6" s="69" t="s">
        <v>538</v>
      </c>
      <c r="I6" s="2"/>
      <c r="J6" s="69" t="s">
        <v>5760</v>
      </c>
      <c r="K6" s="2"/>
      <c r="L6" s="69" t="s">
        <v>5761</v>
      </c>
    </row>
    <row r="7" customFormat="false" ht="18" hidden="false" customHeight="true" outlineLevel="0" collapsed="false">
      <c r="A7" s="2"/>
      <c r="B7" s="70" t="s">
        <v>364</v>
      </c>
      <c r="C7" s="2"/>
      <c r="D7" s="70" t="s">
        <v>364</v>
      </c>
      <c r="E7" s="2"/>
      <c r="F7" s="70" t="s">
        <v>364</v>
      </c>
      <c r="G7" s="2"/>
      <c r="H7" s="70" t="s">
        <v>364</v>
      </c>
      <c r="I7" s="2"/>
      <c r="J7" s="70" t="s">
        <v>364</v>
      </c>
      <c r="K7" s="2"/>
      <c r="L7" s="70" t="s">
        <v>364</v>
      </c>
    </row>
    <row r="8" customFormat="false" ht="30" hidden="false" customHeight="true" outlineLevel="0" collapsed="false">
      <c r="A8" s="2"/>
      <c r="B8" s="71" t="s">
        <v>366</v>
      </c>
      <c r="C8" s="2"/>
      <c r="D8" s="72" t="s">
        <v>62</v>
      </c>
      <c r="E8" s="2"/>
      <c r="F8" s="73" t="s">
        <v>367</v>
      </c>
      <c r="G8" s="2"/>
      <c r="H8" s="74" t="s">
        <v>5762</v>
      </c>
      <c r="I8" s="2"/>
      <c r="J8" s="75" t="s">
        <v>5763</v>
      </c>
      <c r="K8" s="2"/>
      <c r="L8" s="76" t="s">
        <v>5764</v>
      </c>
    </row>
    <row r="9" customFormat="false" ht="18" hidden="false" customHeight="true" outlineLevel="0" collapsed="false">
      <c r="A9" s="2"/>
      <c r="B9" s="70" t="s">
        <v>369</v>
      </c>
      <c r="C9" s="2"/>
      <c r="D9" s="70" t="s">
        <v>369</v>
      </c>
      <c r="E9" s="2"/>
      <c r="F9" s="70" t="s">
        <v>369</v>
      </c>
      <c r="G9" s="2"/>
      <c r="H9" s="70" t="s">
        <v>369</v>
      </c>
      <c r="I9" s="2"/>
      <c r="J9" s="70" t="s">
        <v>369</v>
      </c>
      <c r="K9" s="2"/>
      <c r="L9" s="70" t="s">
        <v>369</v>
      </c>
    </row>
    <row r="10" customFormat="false" ht="30" hidden="false" customHeight="true" outlineLevel="0" collapsed="false">
      <c r="A10" s="2"/>
      <c r="B10" s="77" t="s">
        <v>371</v>
      </c>
      <c r="C10" s="2"/>
      <c r="D10" s="77" t="s">
        <v>372</v>
      </c>
      <c r="E10" s="2"/>
      <c r="F10" s="77" t="s">
        <v>373</v>
      </c>
      <c r="G10" s="2"/>
      <c r="H10" s="77" t="s">
        <v>562</v>
      </c>
      <c r="I10" s="2"/>
      <c r="J10" s="77" t="s">
        <v>5765</v>
      </c>
      <c r="K10" s="2"/>
      <c r="L10" s="77" t="s">
        <v>5766</v>
      </c>
    </row>
    <row r="11" customFormat="false" ht="18" hidden="false" customHeight="true" outlineLevel="0" collapsed="false">
      <c r="A11" s="2"/>
      <c r="B11" s="70" t="s">
        <v>375</v>
      </c>
      <c r="C11" s="2"/>
      <c r="D11" s="70" t="s">
        <v>375</v>
      </c>
      <c r="E11" s="2"/>
      <c r="F11" s="70" t="s">
        <v>375</v>
      </c>
      <c r="G11" s="2"/>
      <c r="H11" s="70" t="s">
        <v>375</v>
      </c>
      <c r="I11" s="2"/>
      <c r="J11" s="70" t="s">
        <v>375</v>
      </c>
      <c r="K11" s="2"/>
      <c r="L11" s="70" t="s">
        <v>375</v>
      </c>
    </row>
    <row r="12" customFormat="false" ht="45" hidden="false" customHeight="true" outlineLevel="0" collapsed="false">
      <c r="A12" s="2"/>
      <c r="B12" s="78" t="s">
        <v>377</v>
      </c>
      <c r="C12" s="2"/>
      <c r="D12" s="78" t="s">
        <v>377</v>
      </c>
      <c r="E12" s="2"/>
      <c r="F12" s="78" t="s">
        <v>378</v>
      </c>
      <c r="G12" s="2"/>
      <c r="H12" s="78" t="s">
        <v>5767</v>
      </c>
      <c r="I12" s="2"/>
      <c r="J12" s="78" t="s">
        <v>5768</v>
      </c>
      <c r="K12" s="2"/>
      <c r="L12" s="78" t="s">
        <v>5769</v>
      </c>
    </row>
    <row r="13" customFormat="false" ht="30" hidden="false" customHeight="true" outlineLevel="0" collapsed="false">
      <c r="A13" s="2"/>
      <c r="B13" s="69" t="s">
        <v>380</v>
      </c>
      <c r="C13" s="2"/>
      <c r="D13" s="69" t="s">
        <v>381</v>
      </c>
      <c r="E13" s="2"/>
      <c r="F13" s="69" t="s">
        <v>382</v>
      </c>
      <c r="G13" s="2"/>
      <c r="H13" s="69" t="s">
        <v>5770</v>
      </c>
      <c r="I13" s="2"/>
      <c r="J13" s="69" t="s">
        <v>5771</v>
      </c>
      <c r="K13" s="2"/>
      <c r="L13" s="69" t="s">
        <v>5772</v>
      </c>
    </row>
    <row r="14" customFormat="false" ht="7.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customFormat="false" ht="30" hidden="false" customHeight="true" outlineLevel="0" collapsed="false">
      <c r="A15" s="2"/>
      <c r="B15" s="79" t="s">
        <v>384</v>
      </c>
      <c r="C15" s="2"/>
      <c r="D15" s="79" t="s">
        <v>384</v>
      </c>
      <c r="E15" s="2"/>
      <c r="F15" s="79" t="s">
        <v>384</v>
      </c>
      <c r="G15" s="2"/>
      <c r="H15" s="79" t="s">
        <v>384</v>
      </c>
      <c r="I15" s="2"/>
      <c r="J15" s="79" t="s">
        <v>384</v>
      </c>
      <c r="K15" s="2"/>
      <c r="L15" s="79" t="s">
        <v>384</v>
      </c>
    </row>
    <row r="16" customFormat="false" ht="75" hidden="false" customHeight="true" outlineLevel="0" collapsed="false">
      <c r="A16" s="2"/>
      <c r="B16" s="80" t="s">
        <v>386</v>
      </c>
      <c r="C16" s="2"/>
      <c r="D16" s="80" t="s">
        <v>387</v>
      </c>
      <c r="E16" s="2"/>
      <c r="F16" s="80" t="s">
        <v>388</v>
      </c>
      <c r="G16" s="2"/>
      <c r="H16" s="80" t="s">
        <v>5773</v>
      </c>
      <c r="I16" s="2"/>
      <c r="J16" s="80" t="s">
        <v>5774</v>
      </c>
      <c r="K16" s="2"/>
      <c r="L16" s="80" t="s">
        <v>5775</v>
      </c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7.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customFormat="false" ht="30" hidden="false" customHeight="true" outlineLevel="0" collapsed="false">
      <c r="A19" s="2"/>
      <c r="B19" s="81" t="s">
        <v>390</v>
      </c>
      <c r="C19" s="2"/>
      <c r="D19" s="82" t="s">
        <v>20</v>
      </c>
      <c r="E19" s="2"/>
      <c r="F19" s="82" t="s">
        <v>21</v>
      </c>
      <c r="G19" s="2"/>
      <c r="H19" s="82" t="s">
        <v>22</v>
      </c>
      <c r="I19" s="2"/>
      <c r="J19" s="82" t="s">
        <v>23</v>
      </c>
      <c r="K19" s="2"/>
      <c r="L19" s="82" t="s">
        <v>24</v>
      </c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105" hidden="false" customHeight="true" outlineLevel="0" collapsed="false">
      <c r="A21" s="2"/>
      <c r="B21" s="83" t="s">
        <v>392</v>
      </c>
      <c r="C21" s="83"/>
      <c r="D21" s="83"/>
      <c r="E21" s="83"/>
      <c r="F21" s="83"/>
      <c r="G21" s="83"/>
      <c r="H21" s="83"/>
      <c r="I21" s="83"/>
      <c r="J21" s="83"/>
      <c r="K21" s="83"/>
      <c r="L21" s="2"/>
    </row>
  </sheetData>
  <mergeCells count="3">
    <mergeCell ref="B2:K2"/>
    <mergeCell ref="B3:K3"/>
    <mergeCell ref="B21:K21"/>
  </mergeCells>
  <hyperlinks>
    <hyperlink ref="D19" location="'Yield Strength'!A1" display="Yield Strength"/>
    <hyperlink ref="F19" location="'Tensile Strength'!A1" display="Tensile Strength"/>
    <hyperlink ref="H19" location="'Impact Properties'!A1" display="Impact Properties"/>
    <hyperlink ref="J19" location="'Grade Comparison'!A1" display="Grade Comparison"/>
    <hyperlink ref="L19" location="'Weldability'!A1" display="Weldabilit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8" min="3" style="1" width="10"/>
    <col collapsed="false" customWidth="true" hidden="false" outlineLevel="0" max="10" min="9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5" hidden="false" customHeight="true" outlineLevel="0" collapsed="false">
      <c r="A2" s="2"/>
      <c r="B2" s="84" t="s">
        <v>393</v>
      </c>
      <c r="C2" s="84"/>
      <c r="D2" s="84"/>
      <c r="E2" s="84"/>
      <c r="F2" s="84"/>
      <c r="G2" s="84"/>
      <c r="H2" s="84"/>
      <c r="I2" s="84"/>
      <c r="J2" s="84"/>
    </row>
    <row r="3" customFormat="false" ht="75" hidden="false" customHeight="true" outlineLevel="0" collapsed="false">
      <c r="A3" s="2"/>
      <c r="B3" s="85" t="s">
        <v>394</v>
      </c>
      <c r="C3" s="85"/>
      <c r="D3" s="85"/>
      <c r="E3" s="85"/>
      <c r="F3" s="85"/>
      <c r="G3" s="85"/>
      <c r="H3" s="85"/>
      <c r="I3" s="85"/>
      <c r="J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30" hidden="false" customHeight="true" outlineLevel="0" collapsed="false">
      <c r="A5" s="2"/>
      <c r="B5" s="86" t="s">
        <v>395</v>
      </c>
      <c r="C5" s="87" t="s">
        <v>358</v>
      </c>
      <c r="D5" s="88" t="s">
        <v>359</v>
      </c>
      <c r="E5" s="89" t="s">
        <v>360</v>
      </c>
      <c r="F5" s="90" t="s">
        <v>396</v>
      </c>
      <c r="G5" s="91" t="s">
        <v>648</v>
      </c>
      <c r="H5" s="92" t="s">
        <v>653</v>
      </c>
      <c r="I5" s="86" t="s">
        <v>5776</v>
      </c>
      <c r="J5" s="86" t="s">
        <v>5777</v>
      </c>
    </row>
    <row r="6" customFormat="false" ht="45" hidden="false" customHeight="true" outlineLevel="0" collapsed="false">
      <c r="A6" s="2"/>
      <c r="B6" s="93" t="s">
        <v>398</v>
      </c>
      <c r="C6" s="94" t="n">
        <v>235</v>
      </c>
      <c r="D6" s="94" t="n">
        <v>275</v>
      </c>
      <c r="E6" s="94" t="n">
        <v>355</v>
      </c>
      <c r="F6" s="94" t="n">
        <v>420</v>
      </c>
      <c r="G6" s="94" t="n">
        <v>460</v>
      </c>
      <c r="H6" s="94" t="n">
        <v>500</v>
      </c>
      <c r="I6" s="95" t="n">
        <f aca="false">IFERROR(MAX(C6:H6),"")</f>
        <v>500</v>
      </c>
      <c r="J6" s="96" t="str">
        <f aca="false">IFERROR(MIN(IF(C6:H6&lt;&gt;"N/A",C6:H6)),"")</f>
        <v/>
      </c>
    </row>
    <row r="7" customFormat="false" ht="45" hidden="false" customHeight="true" outlineLevel="0" collapsed="false">
      <c r="A7" s="2"/>
      <c r="B7" s="93" t="s">
        <v>404</v>
      </c>
      <c r="C7" s="94" t="n">
        <v>225</v>
      </c>
      <c r="D7" s="94" t="n">
        <v>265</v>
      </c>
      <c r="E7" s="94" t="n">
        <v>345</v>
      </c>
      <c r="F7" s="94" t="n">
        <v>400</v>
      </c>
      <c r="G7" s="94" t="n">
        <v>440</v>
      </c>
      <c r="H7" s="94" t="n">
        <v>480</v>
      </c>
      <c r="I7" s="95" t="n">
        <f aca="false">IFERROR(MAX(C7:H7),"")</f>
        <v>480</v>
      </c>
      <c r="J7" s="96" t="str">
        <f aca="false">IFERROR(MIN(IF(C7:H7&lt;&gt;"N/A",C7:H7)),"")</f>
        <v/>
      </c>
    </row>
    <row r="8" customFormat="false" ht="45" hidden="false" customHeight="true" outlineLevel="0" collapsed="false">
      <c r="A8" s="2"/>
      <c r="B8" s="93" t="s">
        <v>410</v>
      </c>
      <c r="C8" s="94" t="n">
        <v>215</v>
      </c>
      <c r="D8" s="94" t="n">
        <v>255</v>
      </c>
      <c r="E8" s="94" t="n">
        <v>335</v>
      </c>
      <c r="F8" s="94" t="n">
        <v>390</v>
      </c>
      <c r="G8" s="94" t="n">
        <v>430</v>
      </c>
      <c r="H8" s="94" t="n">
        <v>440</v>
      </c>
      <c r="I8" s="95" t="n">
        <f aca="false">IFERROR(MAX(C8:H8),"")</f>
        <v>440</v>
      </c>
      <c r="J8" s="96" t="str">
        <f aca="false">IFERROR(MIN(IF(C8:H8&lt;&gt;"N/A",C8:H8)),"")</f>
        <v/>
      </c>
    </row>
    <row r="9" customFormat="false" ht="45" hidden="false" customHeight="true" outlineLevel="0" collapsed="false">
      <c r="A9" s="2"/>
      <c r="B9" s="93" t="s">
        <v>416</v>
      </c>
      <c r="C9" s="94" t="n">
        <v>215</v>
      </c>
      <c r="D9" s="94" t="n">
        <v>245</v>
      </c>
      <c r="E9" s="94" t="n">
        <v>325</v>
      </c>
      <c r="F9" s="94" t="n">
        <v>370</v>
      </c>
      <c r="G9" s="94" t="n">
        <v>410</v>
      </c>
      <c r="H9" s="97" t="s">
        <v>433</v>
      </c>
      <c r="I9" s="95" t="n">
        <f aca="false">IFERROR(MAX(C9:H9),"")</f>
        <v>410</v>
      </c>
      <c r="J9" s="96" t="str">
        <f aca="false">IFERROR(MIN(IF(C9:H9&lt;&gt;"N/A",C9:H9)),"")</f>
        <v/>
      </c>
    </row>
    <row r="10" customFormat="false" ht="60" hidden="false" customHeight="true" outlineLevel="0" collapsed="false">
      <c r="A10" s="2"/>
      <c r="B10" s="93" t="s">
        <v>421</v>
      </c>
      <c r="C10" s="94" t="n">
        <v>215</v>
      </c>
      <c r="D10" s="94" t="n">
        <v>235</v>
      </c>
      <c r="E10" s="94" t="n">
        <v>315</v>
      </c>
      <c r="F10" s="94" t="n">
        <v>360</v>
      </c>
      <c r="G10" s="94" t="n">
        <v>400</v>
      </c>
      <c r="H10" s="97" t="s">
        <v>433</v>
      </c>
      <c r="I10" s="95" t="n">
        <f aca="false">IFERROR(MAX(C10:H10),"")</f>
        <v>400</v>
      </c>
      <c r="J10" s="96" t="str">
        <f aca="false">IFERROR(MIN(IF(C10:H10&lt;&gt;"N/A",C10:H10)),"")</f>
        <v/>
      </c>
    </row>
    <row r="11" customFormat="false" ht="60" hidden="false" customHeight="true" outlineLevel="0" collapsed="false">
      <c r="A11" s="2"/>
      <c r="B11" s="93" t="s">
        <v>425</v>
      </c>
      <c r="C11" s="94" t="n">
        <v>195</v>
      </c>
      <c r="D11" s="94" t="n">
        <v>225</v>
      </c>
      <c r="E11" s="94" t="n">
        <v>295</v>
      </c>
      <c r="F11" s="94" t="n">
        <v>340</v>
      </c>
      <c r="G11" s="94" t="n">
        <v>380</v>
      </c>
      <c r="H11" s="97" t="s">
        <v>433</v>
      </c>
      <c r="I11" s="95" t="n">
        <f aca="false">IFERROR(MAX(C11:H11),"")</f>
        <v>380</v>
      </c>
      <c r="J11" s="96" t="str">
        <f aca="false">IFERROR(MIN(IF(C11:H11&lt;&gt;"N/A",C11:H11)),"")</f>
        <v/>
      </c>
    </row>
    <row r="12" customFormat="false" ht="60" hidden="false" customHeight="true" outlineLevel="0" collapsed="false">
      <c r="A12" s="2"/>
      <c r="B12" s="93" t="s">
        <v>430</v>
      </c>
      <c r="C12" s="94" t="n">
        <v>185</v>
      </c>
      <c r="D12" s="94" t="n">
        <v>215</v>
      </c>
      <c r="E12" s="94" t="n">
        <v>285</v>
      </c>
      <c r="F12" s="97" t="s">
        <v>433</v>
      </c>
      <c r="G12" s="97" t="s">
        <v>433</v>
      </c>
      <c r="H12" s="97" t="s">
        <v>433</v>
      </c>
      <c r="I12" s="95" t="n">
        <f aca="false">IFERROR(MAX(C12:H12),"")</f>
        <v>285</v>
      </c>
      <c r="J12" s="96" t="str">
        <f aca="false">IFERROR(MIN(IF(C12:H12&lt;&gt;"N/A",C12:H12)),"")</f>
        <v/>
      </c>
    </row>
    <row r="13" customFormat="false" ht="60" hidden="false" customHeight="true" outlineLevel="0" collapsed="false">
      <c r="A13" s="2"/>
      <c r="B13" s="93" t="s">
        <v>435</v>
      </c>
      <c r="C13" s="94" t="n">
        <v>175</v>
      </c>
      <c r="D13" s="94" t="n">
        <v>205</v>
      </c>
      <c r="E13" s="94" t="n">
        <v>275</v>
      </c>
      <c r="F13" s="97" t="s">
        <v>433</v>
      </c>
      <c r="G13" s="97" t="s">
        <v>433</v>
      </c>
      <c r="H13" s="97" t="s">
        <v>433</v>
      </c>
      <c r="I13" s="95" t="n">
        <f aca="false">IFERROR(MAX(C13:H13),"")</f>
        <v>275</v>
      </c>
      <c r="J13" s="96" t="str">
        <f aca="false">IFERROR(MIN(IF(C13:H13&lt;&gt;"N/A",C13:H13)),"")</f>
        <v/>
      </c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0" hidden="false" customHeight="true" outlineLevel="0" collapsed="false">
      <c r="A15" s="2"/>
      <c r="B15" s="83" t="s">
        <v>439</v>
      </c>
      <c r="C15" s="83"/>
      <c r="D15" s="83"/>
      <c r="E15" s="83"/>
      <c r="F15" s="83"/>
      <c r="G15" s="83"/>
      <c r="H15" s="83"/>
      <c r="I15" s="83"/>
      <c r="J15" s="83"/>
    </row>
    <row r="16" customFormat="false" ht="90" hidden="false" customHeight="true" outlineLevel="0" collapsed="false">
      <c r="A16" s="2"/>
      <c r="B16" s="83" t="s">
        <v>440</v>
      </c>
      <c r="C16" s="83"/>
      <c r="D16" s="83"/>
      <c r="E16" s="83"/>
      <c r="F16" s="83"/>
      <c r="G16" s="83"/>
      <c r="H16" s="83"/>
      <c r="I16" s="83"/>
      <c r="J16" s="83"/>
    </row>
  </sheetData>
  <mergeCells count="4">
    <mergeCell ref="B2:J2"/>
    <mergeCell ref="B3:J3"/>
    <mergeCell ref="B15:J15"/>
    <mergeCell ref="B16:J16"/>
  </mergeCells>
  <conditionalFormatting sqref="C6:H13">
    <cfRule type="colorScale" priority="2">
      <colorScale>
        <cfvo type="min" val="0"/>
        <cfvo type="max" val="0"/>
        <color rgb="FFFCFCFC"/>
        <color rgb="FF1B474D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4B2F"/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14" min="3" style="1" width="10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84" t="s">
        <v>441</v>
      </c>
      <c r="C2" s="84"/>
      <c r="D2" s="84"/>
      <c r="E2" s="84"/>
      <c r="F2" s="84"/>
      <c r="G2" s="84"/>
      <c r="H2" s="84"/>
      <c r="I2" s="84"/>
      <c r="J2" s="84"/>
      <c r="K2" s="84"/>
      <c r="L2" s="2"/>
      <c r="M2" s="2"/>
      <c r="N2" s="2"/>
    </row>
    <row r="3" customFormat="false" ht="90" hidden="false" customHeight="true" outlineLevel="0" collapsed="false">
      <c r="A3" s="2"/>
      <c r="B3" s="85" t="s">
        <v>442</v>
      </c>
      <c r="C3" s="85"/>
      <c r="D3" s="85"/>
      <c r="E3" s="85"/>
      <c r="F3" s="85"/>
      <c r="G3" s="85"/>
      <c r="H3" s="85"/>
      <c r="I3" s="85"/>
      <c r="J3" s="85"/>
      <c r="K3" s="85"/>
      <c r="L3" s="2"/>
      <c r="M3" s="2"/>
      <c r="N3" s="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86" t="s">
        <v>395</v>
      </c>
      <c r="C5" s="98" t="s">
        <v>358</v>
      </c>
      <c r="D5" s="98"/>
      <c r="E5" s="99" t="s">
        <v>359</v>
      </c>
      <c r="F5" s="99"/>
      <c r="G5" s="100" t="s">
        <v>360</v>
      </c>
      <c r="H5" s="100"/>
      <c r="I5" s="101" t="s">
        <v>396</v>
      </c>
      <c r="J5" s="101"/>
      <c r="K5" s="102" t="s">
        <v>648</v>
      </c>
      <c r="L5" s="102"/>
      <c r="M5" s="103" t="s">
        <v>653</v>
      </c>
      <c r="N5" s="103"/>
    </row>
    <row r="6" customFormat="false" ht="30" hidden="false" customHeight="true" outlineLevel="0" collapsed="false">
      <c r="A6" s="2"/>
      <c r="B6" s="104" t="s">
        <v>395</v>
      </c>
      <c r="C6" s="104" t="s">
        <v>444</v>
      </c>
      <c r="D6" s="104" t="s">
        <v>445</v>
      </c>
      <c r="E6" s="104" t="s">
        <v>444</v>
      </c>
      <c r="F6" s="104" t="s">
        <v>445</v>
      </c>
      <c r="G6" s="104" t="s">
        <v>444</v>
      </c>
      <c r="H6" s="104" t="s">
        <v>445</v>
      </c>
      <c r="I6" s="104" t="s">
        <v>444</v>
      </c>
      <c r="J6" s="104" t="s">
        <v>445</v>
      </c>
      <c r="K6" s="104" t="s">
        <v>444</v>
      </c>
      <c r="L6" s="104" t="s">
        <v>445</v>
      </c>
      <c r="M6" s="104" t="s">
        <v>444</v>
      </c>
      <c r="N6" s="104" t="s">
        <v>445</v>
      </c>
    </row>
    <row r="7" customFormat="false" ht="30" hidden="false" customHeight="true" outlineLevel="0" collapsed="false">
      <c r="A7" s="2"/>
      <c r="B7" s="105" t="s">
        <v>398</v>
      </c>
      <c r="C7" s="94" t="n">
        <v>360</v>
      </c>
      <c r="D7" s="94" t="n">
        <v>510</v>
      </c>
      <c r="E7" s="94" t="n">
        <v>410</v>
      </c>
      <c r="F7" s="94" t="n">
        <v>560</v>
      </c>
      <c r="G7" s="94" t="n">
        <v>470</v>
      </c>
      <c r="H7" s="94" t="n">
        <v>630</v>
      </c>
      <c r="I7" s="94" t="n">
        <v>520</v>
      </c>
      <c r="J7" s="94" t="n">
        <v>680</v>
      </c>
      <c r="K7" s="94" t="n">
        <v>540</v>
      </c>
      <c r="L7" s="94" t="n">
        <v>720</v>
      </c>
      <c r="M7" s="94" t="n">
        <v>590</v>
      </c>
      <c r="N7" s="94" t="n">
        <v>770</v>
      </c>
    </row>
    <row r="8" customFormat="false" ht="30" hidden="false" customHeight="true" outlineLevel="0" collapsed="false">
      <c r="A8" s="2"/>
      <c r="B8" s="105" t="s">
        <v>404</v>
      </c>
      <c r="C8" s="94" t="n">
        <v>360</v>
      </c>
      <c r="D8" s="94" t="n">
        <v>510</v>
      </c>
      <c r="E8" s="94" t="n">
        <v>410</v>
      </c>
      <c r="F8" s="94" t="n">
        <v>560</v>
      </c>
      <c r="G8" s="94" t="n">
        <v>470</v>
      </c>
      <c r="H8" s="94" t="n">
        <v>630</v>
      </c>
      <c r="I8" s="94" t="n">
        <v>520</v>
      </c>
      <c r="J8" s="94" t="n">
        <v>680</v>
      </c>
      <c r="K8" s="94" t="n">
        <v>530</v>
      </c>
      <c r="L8" s="94" t="n">
        <v>710</v>
      </c>
      <c r="M8" s="94" t="n">
        <v>570</v>
      </c>
      <c r="N8" s="94" t="n">
        <v>750</v>
      </c>
    </row>
    <row r="9" customFormat="false" ht="30" hidden="false" customHeight="true" outlineLevel="0" collapsed="false">
      <c r="A9" s="2"/>
      <c r="B9" s="105" t="s">
        <v>410</v>
      </c>
      <c r="C9" s="94" t="n">
        <v>360</v>
      </c>
      <c r="D9" s="94" t="n">
        <v>510</v>
      </c>
      <c r="E9" s="94" t="n">
        <v>400</v>
      </c>
      <c r="F9" s="94" t="n">
        <v>540</v>
      </c>
      <c r="G9" s="94" t="n">
        <v>470</v>
      </c>
      <c r="H9" s="94" t="n">
        <v>630</v>
      </c>
      <c r="I9" s="94" t="n">
        <v>500</v>
      </c>
      <c r="J9" s="94" t="n">
        <v>660</v>
      </c>
      <c r="K9" s="94" t="n">
        <v>520</v>
      </c>
      <c r="L9" s="94" t="n">
        <v>700</v>
      </c>
      <c r="M9" s="94" t="n">
        <v>540</v>
      </c>
      <c r="N9" s="94" t="n">
        <v>720</v>
      </c>
    </row>
    <row r="10" customFormat="false" ht="30" hidden="false" customHeight="true" outlineLevel="0" collapsed="false">
      <c r="A10" s="2"/>
      <c r="B10" s="105" t="s">
        <v>416</v>
      </c>
      <c r="C10" s="94" t="n">
        <v>360</v>
      </c>
      <c r="D10" s="94" t="n">
        <v>510</v>
      </c>
      <c r="E10" s="94" t="n">
        <v>400</v>
      </c>
      <c r="F10" s="94" t="n">
        <v>540</v>
      </c>
      <c r="G10" s="94" t="n">
        <v>450</v>
      </c>
      <c r="H10" s="94" t="n">
        <v>610</v>
      </c>
      <c r="I10" s="94" t="n">
        <v>490</v>
      </c>
      <c r="J10" s="94" t="n">
        <v>650</v>
      </c>
      <c r="K10" s="94" t="n">
        <v>510</v>
      </c>
      <c r="L10" s="94" t="n">
        <v>690</v>
      </c>
      <c r="M10" s="97" t="s">
        <v>433</v>
      </c>
      <c r="N10" s="97" t="s">
        <v>433</v>
      </c>
    </row>
    <row r="11" customFormat="false" ht="30" hidden="false" customHeight="true" outlineLevel="0" collapsed="false">
      <c r="A11" s="2"/>
      <c r="B11" s="105" t="s">
        <v>421</v>
      </c>
      <c r="C11" s="94" t="n">
        <v>360</v>
      </c>
      <c r="D11" s="94" t="n">
        <v>510</v>
      </c>
      <c r="E11" s="94" t="n">
        <v>380</v>
      </c>
      <c r="F11" s="94" t="n">
        <v>540</v>
      </c>
      <c r="G11" s="94" t="n">
        <v>450</v>
      </c>
      <c r="H11" s="94" t="n">
        <v>610</v>
      </c>
      <c r="I11" s="94" t="n">
        <v>480</v>
      </c>
      <c r="J11" s="94" t="n">
        <v>640</v>
      </c>
      <c r="K11" s="94" t="n">
        <v>500</v>
      </c>
      <c r="L11" s="94" t="n">
        <v>680</v>
      </c>
      <c r="M11" s="97" t="s">
        <v>433</v>
      </c>
      <c r="N11" s="97" t="s">
        <v>433</v>
      </c>
    </row>
    <row r="12" customFormat="false" ht="30" hidden="false" customHeight="true" outlineLevel="0" collapsed="false">
      <c r="A12" s="2"/>
      <c r="B12" s="105" t="s">
        <v>425</v>
      </c>
      <c r="C12" s="94" t="n">
        <v>350</v>
      </c>
      <c r="D12" s="94" t="n">
        <v>500</v>
      </c>
      <c r="E12" s="94" t="n">
        <v>380</v>
      </c>
      <c r="F12" s="94" t="n">
        <v>530</v>
      </c>
      <c r="G12" s="94" t="n">
        <v>450</v>
      </c>
      <c r="H12" s="94" t="n">
        <v>600</v>
      </c>
      <c r="I12" s="94" t="n">
        <v>470</v>
      </c>
      <c r="J12" s="94" t="n">
        <v>630</v>
      </c>
      <c r="K12" s="94" t="n">
        <v>490</v>
      </c>
      <c r="L12" s="94" t="n">
        <v>660</v>
      </c>
      <c r="M12" s="97" t="s">
        <v>433</v>
      </c>
      <c r="N12" s="97" t="s">
        <v>433</v>
      </c>
    </row>
    <row r="13" customFormat="false" ht="30" hidden="false" customHeight="true" outlineLevel="0" collapsed="false">
      <c r="A13" s="2"/>
      <c r="B13" s="105" t="s">
        <v>430</v>
      </c>
      <c r="C13" s="94" t="n">
        <v>340</v>
      </c>
      <c r="D13" s="94" t="n">
        <v>490</v>
      </c>
      <c r="E13" s="94" t="n">
        <v>370</v>
      </c>
      <c r="F13" s="94" t="n">
        <v>530</v>
      </c>
      <c r="G13" s="94" t="n">
        <v>440</v>
      </c>
      <c r="H13" s="94" t="n">
        <v>590</v>
      </c>
      <c r="I13" s="97" t="s">
        <v>433</v>
      </c>
      <c r="J13" s="97" t="s">
        <v>433</v>
      </c>
      <c r="K13" s="97" t="s">
        <v>433</v>
      </c>
      <c r="L13" s="97" t="s">
        <v>433</v>
      </c>
      <c r="M13" s="97" t="s">
        <v>433</v>
      </c>
      <c r="N13" s="97" t="s">
        <v>433</v>
      </c>
    </row>
    <row r="14" customFormat="false" ht="30" hidden="false" customHeight="true" outlineLevel="0" collapsed="false">
      <c r="A14" s="2"/>
      <c r="B14" s="105" t="s">
        <v>435</v>
      </c>
      <c r="C14" s="94" t="n">
        <v>330</v>
      </c>
      <c r="D14" s="94" t="n">
        <v>480</v>
      </c>
      <c r="E14" s="94" t="n">
        <v>360</v>
      </c>
      <c r="F14" s="94" t="n">
        <v>510</v>
      </c>
      <c r="G14" s="94" t="n">
        <v>430</v>
      </c>
      <c r="H14" s="94" t="n">
        <v>580</v>
      </c>
      <c r="I14" s="97" t="s">
        <v>433</v>
      </c>
      <c r="J14" s="97" t="s">
        <v>433</v>
      </c>
      <c r="K14" s="97" t="s">
        <v>433</v>
      </c>
      <c r="L14" s="97" t="s">
        <v>433</v>
      </c>
      <c r="M14" s="97" t="s">
        <v>433</v>
      </c>
      <c r="N14" s="97" t="s">
        <v>433</v>
      </c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customFormat="false" ht="105" hidden="false" customHeight="true" outlineLevel="0" collapsed="false">
      <c r="A16" s="2"/>
      <c r="B16" s="83" t="s">
        <v>466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</sheetData>
  <mergeCells count="9">
    <mergeCell ref="B2:K2"/>
    <mergeCell ref="B3:K3"/>
    <mergeCell ref="C5:D5"/>
    <mergeCell ref="E5:F5"/>
    <mergeCell ref="G5:H5"/>
    <mergeCell ref="I5:J5"/>
    <mergeCell ref="K5:L5"/>
    <mergeCell ref="M5:N5"/>
    <mergeCell ref="B16:N16"/>
  </mergeCells>
  <conditionalFormatting sqref="C7:C14">
    <cfRule type="colorScale" priority="2">
      <colorScale>
        <cfvo type="min" val="0"/>
        <cfvo type="max" val="0"/>
        <color rgb="FFFAFAFA"/>
        <color rgb="FF20808D"/>
      </colorScale>
    </cfRule>
  </conditionalFormatting>
  <conditionalFormatting sqref="E7:E14">
    <cfRule type="colorScale" priority="3">
      <colorScale>
        <cfvo type="min" val="0"/>
        <cfvo type="max" val="0"/>
        <color rgb="FFFAFAFA"/>
        <color rgb="FF1B474D"/>
      </colorScale>
    </cfRule>
  </conditionalFormatting>
  <conditionalFormatting sqref="G7:G14">
    <cfRule type="colorScale" priority="4">
      <colorScale>
        <cfvo type="min" val="0"/>
        <cfvo type="max" val="0"/>
        <color rgb="FFFAFAFA"/>
        <color rgb="FFA84B2F"/>
      </colorScale>
    </cfRule>
  </conditionalFormatting>
  <conditionalFormatting sqref="I7:I14">
    <cfRule type="colorScale" priority="5">
      <colorScale>
        <cfvo type="min" val="0"/>
        <cfvo type="max" val="0"/>
        <color rgb="FFFAFAFA"/>
        <color rgb="FF944454"/>
      </colorScale>
    </cfRule>
  </conditionalFormatting>
  <conditionalFormatting sqref="K7:K14">
    <cfRule type="colorScale" priority="6">
      <colorScale>
        <cfvo type="min" val="0"/>
        <cfvo type="max" val="0"/>
        <color rgb="FFFAFAFA"/>
        <color rgb="FFDA7101"/>
      </colorScale>
    </cfRule>
  </conditionalFormatting>
  <conditionalFormatting sqref="M7:M14">
    <cfRule type="colorScale" priority="7">
      <colorScale>
        <cfvo type="min" val="0"/>
        <cfvo type="max" val="0"/>
        <color rgb="FFFAFAFA"/>
        <color rgb="FF7A39B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2026-04-09T00:10:30Z</dcterms:created>
  <dc:creator>openpyxl</dc:creator>
  <dc:description/>
  <dc:language>en-US</dc:language>
  <cp:lastModifiedBy/>
  <dcterms:modified xsi:type="dcterms:W3CDTF">2026-04-30T09:49:47Z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